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5" yWindow="-15" windowWidth="14430" windowHeight="11880" activeTab="1"/>
  </bookViews>
  <sheets>
    <sheet name="מקום ג" sheetId="2" r:id="rId1"/>
    <sheet name="פירוט סעיפים" sheetId="1" r:id="rId2"/>
    <sheet name="פירוט משרות" sheetId="4" r:id="rId3"/>
  </sheets>
  <externalReferences>
    <externalReference r:id="rId4"/>
  </externalReferences>
  <definedNames>
    <definedName name="ג">#REF!</definedName>
    <definedName name="עלות_שנתית_מלגת_קיום_צוערים">'[1]תקציב תשסז'!$C$47</definedName>
    <definedName name="צוערים_מחזור_א">#REF!</definedName>
    <definedName name="צוערים_מחזור_ב">'[1]תקציב תשסז'!$F$46</definedName>
    <definedName name="צוערים_מחזור_ג">'[1]תקציב תשסז'!$G$46</definedName>
    <definedName name="צוערים_מחזור_ד">'[1]תקציב תשסז'!$H$46</definedName>
    <definedName name="צוערים_מחזור_ה">'[1]תקציב תשסז'!$I$46</definedName>
    <definedName name="שכל_שנתי_צוערים">'[1]תקציב תשסז'!$C$48</definedName>
    <definedName name="שעח">'[1]תקציב תשסז'!$A$1</definedName>
    <definedName name="תעשיה_מחזור_א">'[1]תקציב תשסז'!$F$97</definedName>
    <definedName name="תעשיה_מחזור_ב">'[1]תקציב תשסז'!$G$97</definedName>
    <definedName name="תעשיה_מחזור_ג">'[1]תקציב תשסז'!$H$97</definedName>
    <definedName name="תעשיה_מחזור_ד">'[1]תקציב תשסז'!$I$97</definedName>
    <definedName name="תעשיה_מחזור_ה_חלקי">'[1]תקציב תשסז'!$J$97</definedName>
    <definedName name="תשלום_נציבות_לצוער">'[1]תקציב תשסז'!$C$49</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 i="2" l="1"/>
  <c r="E39" i="1" l="1"/>
  <c r="D39" i="1"/>
  <c r="E35" i="1"/>
  <c r="D35" i="1"/>
  <c r="E14" i="1"/>
  <c r="D15" i="1"/>
  <c r="E15" i="1" s="1"/>
  <c r="D14" i="1"/>
  <c r="D13" i="1"/>
  <c r="E13" i="1" s="1"/>
  <c r="E9" i="1"/>
  <c r="D9" i="1"/>
  <c r="E3" i="1"/>
  <c r="D4" i="1"/>
  <c r="E4" i="1" s="1"/>
  <c r="D3" i="1"/>
  <c r="E56" i="1" l="1"/>
  <c r="D56" i="1"/>
  <c r="C56" i="1"/>
  <c r="E55" i="1"/>
  <c r="D55" i="1"/>
  <c r="C55" i="1"/>
  <c r="E54" i="1"/>
  <c r="D54" i="1"/>
  <c r="C54" i="1"/>
  <c r="E53" i="1"/>
  <c r="D53" i="1"/>
  <c r="C53" i="1"/>
  <c r="G5" i="4" l="1"/>
  <c r="F5" i="4"/>
  <c r="C11" i="4" l="1"/>
  <c r="D22" i="4"/>
  <c r="G10" i="4"/>
  <c r="G9" i="4"/>
  <c r="G8" i="4"/>
  <c r="G7" i="4"/>
  <c r="G6" i="4"/>
  <c r="G4" i="4"/>
  <c r="G3" i="4"/>
  <c r="E14" i="4" l="1"/>
  <c r="E15" i="4"/>
  <c r="E16" i="4"/>
  <c r="E17" i="4"/>
  <c r="E18" i="4"/>
  <c r="E19" i="4"/>
  <c r="E20" i="4"/>
  <c r="E21" i="4" l="1"/>
  <c r="C39" i="1" l="1"/>
  <c r="F56" i="1"/>
  <c r="F53" i="1"/>
  <c r="F55" i="1" l="1"/>
  <c r="F54" i="1"/>
  <c r="C57" i="1"/>
  <c r="C58" i="1" s="1"/>
  <c r="D57" i="1"/>
  <c r="E57" i="1"/>
  <c r="C35" i="1" l="1"/>
  <c r="C15" i="1"/>
  <c r="C13" i="1"/>
  <c r="C4" i="1" l="1"/>
  <c r="F3" i="4"/>
  <c r="F10" i="4" l="1"/>
  <c r="F9" i="4"/>
  <c r="F8" i="4"/>
  <c r="F4" i="4"/>
  <c r="F6" i="4"/>
  <c r="C49" i="1" l="1"/>
  <c r="E40" i="1"/>
  <c r="D40" i="1"/>
  <c r="C40" i="1"/>
  <c r="F31" i="1" l="1"/>
  <c r="D49" i="1"/>
  <c r="F36" i="1"/>
  <c r="F4" i="1"/>
  <c r="F13" i="1"/>
  <c r="F9" i="1"/>
  <c r="F44" i="1"/>
  <c r="F45" i="1"/>
  <c r="F46" i="1"/>
  <c r="F47" i="1"/>
  <c r="F48" i="1"/>
  <c r="F50" i="1"/>
  <c r="F52" i="1"/>
  <c r="B7" i="2" s="1"/>
  <c r="F37" i="1"/>
  <c r="F38" i="1"/>
  <c r="F39" i="1"/>
  <c r="F40" i="1"/>
  <c r="D41" i="1"/>
  <c r="F16" i="1"/>
  <c r="F17" i="1"/>
  <c r="F18" i="1"/>
  <c r="F19" i="1"/>
  <c r="F20" i="1"/>
  <c r="F21" i="1"/>
  <c r="F22" i="1"/>
  <c r="F23" i="1"/>
  <c r="F24" i="1"/>
  <c r="F25" i="1"/>
  <c r="F26" i="1"/>
  <c r="F27" i="1"/>
  <c r="F28" i="1"/>
  <c r="F29" i="1"/>
  <c r="F30" i="1"/>
  <c r="F32" i="1"/>
  <c r="F5" i="1"/>
  <c r="F6" i="1"/>
  <c r="F7" i="1"/>
  <c r="F8" i="1"/>
  <c r="F59" i="1"/>
  <c r="B9" i="2" s="1"/>
  <c r="F10" i="1"/>
  <c r="F14" i="1" l="1"/>
  <c r="E42" i="1"/>
  <c r="F35" i="1"/>
  <c r="F3" i="1"/>
  <c r="E11" i="1"/>
  <c r="E33" i="1" l="1"/>
  <c r="E51" i="1" s="1"/>
  <c r="F15" i="1"/>
  <c r="E58" i="1" l="1"/>
  <c r="E60" i="1" l="1"/>
  <c r="E61" i="1" s="1"/>
  <c r="D42" i="1"/>
  <c r="C11" i="1"/>
  <c r="D11" i="1"/>
  <c r="C33" i="1"/>
  <c r="D33" i="1"/>
  <c r="F33" i="1" l="1"/>
  <c r="D51" i="1"/>
  <c r="D60" i="1" s="1"/>
  <c r="F11" i="1"/>
  <c r="C41" i="1" l="1"/>
  <c r="F41" i="1" l="1"/>
  <c r="C42" i="1"/>
  <c r="F42" i="1" s="1"/>
  <c r="B6" i="2"/>
  <c r="F49" i="1" l="1"/>
  <c r="B5" i="2" s="1"/>
  <c r="C51" i="1"/>
  <c r="C60" i="1" s="1"/>
  <c r="B4" i="2"/>
  <c r="F51" i="1" l="1"/>
  <c r="B2" i="2"/>
  <c r="B3" i="2" l="1"/>
  <c r="B10" i="2" s="1"/>
  <c r="F57" i="1" l="1"/>
  <c r="D58" i="1"/>
  <c r="D61" i="1" s="1"/>
  <c r="F58" i="1" l="1"/>
  <c r="B11" i="2" s="1"/>
  <c r="C61" i="1"/>
  <c r="F61" i="1" s="1"/>
  <c r="F60" i="1"/>
  <c r="G1" i="1" s="1"/>
</calcChain>
</file>

<file path=xl/sharedStrings.xml><?xml version="1.0" encoding="utf-8"?>
<sst xmlns="http://schemas.openxmlformats.org/spreadsheetml/2006/main" count="166" uniqueCount="151">
  <si>
    <t>נושא</t>
  </si>
  <si>
    <t xml:space="preserve">הסברים </t>
  </si>
  <si>
    <t>מינהלת המיזם</t>
  </si>
  <si>
    <t>רכז/ת מיון</t>
  </si>
  <si>
    <t>ייעוץ</t>
  </si>
  <si>
    <t>מדידה והערכה</t>
  </si>
  <si>
    <t>סמינר פתיחה</t>
  </si>
  <si>
    <t>סמינר סיכום</t>
  </si>
  <si>
    <t>חומרים נלווים</t>
  </si>
  <si>
    <t>סה"כ הכשרה</t>
  </si>
  <si>
    <t>ניהול תיקים</t>
  </si>
  <si>
    <t>שעות ייעוץ</t>
  </si>
  <si>
    <t>מקום אקו</t>
  </si>
  <si>
    <t>סה"כ רשת</t>
  </si>
  <si>
    <t>ביטוחים</t>
  </si>
  <si>
    <t>סה"כ עלויות הפעלה ישירות (₪)</t>
  </si>
  <si>
    <t>סהכ תכנית שלטון מקומי</t>
  </si>
  <si>
    <t>סה"כ עלות לשותף</t>
  </si>
  <si>
    <t>הכשרה</t>
  </si>
  <si>
    <t>סה"כ</t>
  </si>
  <si>
    <t>מנהל/ת מיזם</t>
  </si>
  <si>
    <t>מנהל/ת התכניות ינהל את הקשר מול הוועד המנהל והשותפים של תכניות העתודה, אחריות על פעילות המיזם וביצוע הנחיות על פי הועד המנהל.</t>
  </si>
  <si>
    <t>פעילות מיזמית ולמידה</t>
  </si>
  <si>
    <t>בלתי צפוי</t>
  </si>
  <si>
    <t>איתור ומיון</t>
  </si>
  <si>
    <t>תכניות הכשרה</t>
  </si>
  <si>
    <t>פיתוח תוכן</t>
  </si>
  <si>
    <t>פיתוח תוכן עבור תכניות המיזם ותכנית ראשי רשויות, משרה אחת מלאה (50% + 50%)</t>
  </si>
  <si>
    <t>ריכוז מיזם</t>
  </si>
  <si>
    <t>טקס סיום פתיחה</t>
  </si>
  <si>
    <t>שבוע קהילות</t>
  </si>
  <si>
    <t>שבוע הגדרת בעיה</t>
  </si>
  <si>
    <t>שבוע הובלת שינוי</t>
  </si>
  <si>
    <t>מפגש זהות מקצועית ואתיקה</t>
  </si>
  <si>
    <t>מנהיגות הסתגלותית</t>
  </si>
  <si>
    <t xml:space="preserve">העשרות וביקורי בית </t>
  </si>
  <si>
    <t>סבסוד לינות</t>
  </si>
  <si>
    <t>לימודי אנגלית</t>
  </si>
  <si>
    <t>הכשרת צוות</t>
  </si>
  <si>
    <t>טיסות לארצות הברית</t>
  </si>
  <si>
    <t>סיור לימודי בבוסטון</t>
  </si>
  <si>
    <t>תכנית מנהלים בהרווארד</t>
  </si>
  <si>
    <t>מחקר ידע תומך האצה</t>
  </si>
  <si>
    <t>מפגשי פעילות והאקתונים</t>
  </si>
  <si>
    <t>מלווה חברי רשת</t>
  </si>
  <si>
    <t>פעילות רשת</t>
  </si>
  <si>
    <t>סמינר קיץ</t>
  </si>
  <si>
    <t>תכנית ראשי רשויות</t>
  </si>
  <si>
    <t>שלושה מחזורי הכשרה ל16 ראשי רשויות נבחרים בכל מחזור. כולל בניית תוכן ייחודי, מנחה ברמה ובבכירות גבוהה ומעטפת מתאימה, בכל מחזור סמינר פתיחה וסיום, שלושה מפגשים חד יומיים ומפגש דו יומי</t>
  </si>
  <si>
    <t>הוצאות הקמה כלליות</t>
  </si>
  <si>
    <t>גרפיקה, מיתוג, שיווק</t>
  </si>
  <si>
    <t>יומיים כולל לינה בחדרים נפרדים, פנסיון מלא וכיתות, 33 אש"ח למפגש</t>
  </si>
  <si>
    <t>ימי תוכן</t>
  </si>
  <si>
    <t>הרצאות מהרווארד</t>
  </si>
  <si>
    <t xml:space="preserve">סך עלויות הפעלת המיזם </t>
  </si>
  <si>
    <t>ימי הכנה לבוסטון</t>
  </si>
  <si>
    <t>סה"כ ראשי רשויות</t>
  </si>
  <si>
    <t xml:space="preserve">מנחים </t>
  </si>
  <si>
    <t>מפגש למידה עם מרצים בכירים בעלי שם כמו פרופ' דן אריאלי או פרופ' ג'ושוע מרגולס, ראש התכנית של מעוז בHBS,(500 ₪ למשתתף, צפי השתתפות 65 אחוז מחברי הרשת)</t>
  </si>
  <si>
    <t>תכנית דרגי הביניים, נסיעה לימודית לבוסטון כולל שבוע באוני' הרווארד</t>
  </si>
  <si>
    <t>ראשי רשויות</t>
  </si>
  <si>
    <t>כרטיסי טיסה לבוסטון (1050 דולר לכרטיס), חישוב תשלום מקדמה ב2019</t>
  </si>
  <si>
    <t>רשת והאצה</t>
  </si>
  <si>
    <t>הפעלת פעילות רשת ותוכניות האצה לחברי הרשת בתחום השלטון המקומי</t>
  </si>
  <si>
    <t>טכנולוגיה ומרכז ידע</t>
  </si>
  <si>
    <t>ריכוז תהליך איתור ומיון למחזור ג' וד',סה"כ משרה אחת פרוסה לאורך השנה</t>
  </si>
  <si>
    <t xml:space="preserve">הנחיית קבוצות תכנית ההכשרה, הנחייה במקום אקו, תכנית ראשי רשויות ופעילויות נוספות, הכנת תכנים וביצוע שיחות אישיות עם העמיתים, פגישות עם בעלי עניין ועוד.  סה"כ 2.5 משרות הנחייה </t>
  </si>
  <si>
    <t>2 מנהלי תיקים,12 קייסים בשנה</t>
  </si>
  <si>
    <t>משרה אחת שצפויה להפוך למשרה וחצי אחרי כניסת מחזור ג' לרשת</t>
  </si>
  <si>
    <t>2 משרות ניהול תיקיים, 12 קייסים בשנה לכל אחד</t>
  </si>
  <si>
    <t>מנהלי תיקים</t>
  </si>
  <si>
    <t>שתי משרות של חצאי משרה, אחת לפיתוח תכנית ההכשרה והשנייה לפיתוח תכנית ראשי רשויות</t>
  </si>
  <si>
    <t>3 מנחים בתכנית, מנחים במקביל גם את מקום אקו, ראשי רשויות ופעילות מיזם</t>
  </si>
  <si>
    <t>מנחים</t>
  </si>
  <si>
    <t>הסבר</t>
  </si>
  <si>
    <t>משרה</t>
  </si>
  <si>
    <t xml:space="preserve">ריכוז תכניות המיזם, קשר עם עמיתים, הפקה וביצוע של שבועות התוכן, 3 משרות </t>
  </si>
  <si>
    <t>כמת משרות</t>
  </si>
  <si>
    <t>2 משרות ריכוז תכנית, 0.5 משרת ריכוז אקו, 0.5 משרת ריכוז מיזם</t>
  </si>
  <si>
    <t>עלות עובד שנתית</t>
  </si>
  <si>
    <t>אחוז משרה</t>
  </si>
  <si>
    <t>סה"כ עלות שנתית</t>
  </si>
  <si>
    <t xml:space="preserve">שכירת אולם וקייטרינג (כ50 אש"ח); הגברה (1200 ₪); תאורה; סרטונים (כ10 אש"ח); עיצוב גרפי, תערוכה והדפסות (כ10 אש"ח); שי לאורחים </t>
  </si>
  <si>
    <t>פיתוח והכשרה של צוות התכנית, 650 ₪ לאיש צוות בשנה</t>
  </si>
  <si>
    <t xml:space="preserve">סיור לימודי באזור בוסטון, 7 לינות (כ45K$) וכלכלה מלאה (כ30K$), ערב הפגה (כ5kִ$), כולל חומרים (כ2K$), תחבורה (כ20K$),  מרצים (כ10K$), מלווים מקצועיים ופיתוח תוכן (כ15 אש"ח) והוצאות נוספות </t>
  </si>
  <si>
    <t>הבאה של מרצים בכירים מהרווארד וקיום מפגש משותף לכלל המחזורים, כולל עלות מרצים (260 אש"ח - טיסות, שכר מרצה, כלכלת מרצה), חללים (15 אש"ח) ומזון (12 אש"ח), חומרי הכנה ודפוס (5000)</t>
  </si>
  <si>
    <t>נקיון</t>
  </si>
  <si>
    <t>פיתוח אפשרויות ללמידה שכרגע לא קיימות בארץ. מבוסס על מודלים של אוניברסיטת הרווארד ועוד מוסדות דומים (100 אש"ח). פיתוח פלטפורמה לקשר וירטואלי רציף בין חברי הרשת הגדולה. פיתוח וייעול עבודת צוות התכנית והרשת מול העמיתים וחברי הרשת (100 אש"ח). מחקרי אסטרטגיה ומחקרים ייעודיים כבסיס להפעלת המיזם ופיתוח שבועות התוכן. (150 אש"ח)</t>
  </si>
  <si>
    <t>שכ"ד</t>
  </si>
  <si>
    <t>ארנונה ומים</t>
  </si>
  <si>
    <t>חשמל</t>
  </si>
  <si>
    <t>50%+50%</t>
  </si>
  <si>
    <t>ריכוז תהליך איתור ומיון למחזור ג' וד',סה"כ 0.75 משרה פרוסה לאורך השנה</t>
  </si>
  <si>
    <t>מנהלת המיזם</t>
  </si>
  <si>
    <t>מנהלת תחום מאיצים</t>
  </si>
  <si>
    <t>מנהל תחום רישות</t>
  </si>
  <si>
    <t>מנכ"ל</t>
  </si>
  <si>
    <t>חלקיות חישוב</t>
  </si>
  <si>
    <t>סכום</t>
  </si>
  <si>
    <t>סה"כ מנהלת המיזם</t>
  </si>
  <si>
    <t>מנהלת תחום תהודה</t>
  </si>
  <si>
    <t>מנהלת תחום מיון</t>
  </si>
  <si>
    <t>עלות שנתית</t>
  </si>
  <si>
    <t>מנהל אימפקט</t>
  </si>
  <si>
    <t>מנהלת כת"ף</t>
  </si>
  <si>
    <t>עלויות שכר ישירות של העוסקים בהפעלת הפרוייקט (חלקיות משרה של: מנכ"ל, סמנכ"ל אימפקט, ר.תחום רישות, ר.תחום מאיצים,מנהלת כת"ף, ר.תחום תהודה, ר.תחום מיון)</t>
  </si>
  <si>
    <t>סמינר בן יומיים כולל לילה לינה כ460 ש"ח לעמית בחדר זוגי(25 אש"ח), חללי פעילות ליומיים (10 אש"ח) וכלכלה מלאה(כ12 אש"ח), פעילות גיבושית (כ7000 ₪), ספר 'מנהיגות במבחן' לכל עמית (כ2600 ₪) , חומרי דפוס ולמידה (כ4000 ₪), הרצאות חיצונית (כ8000 ₪)</t>
  </si>
  <si>
    <t>סמינר בן שלושה ימים כולל לילה לינה כ460 ₪ לעמית בחדר זוגי  (כ45 אש"ח), חללי פעילות לשלושה ימים (15 אש"ח) וכלכלה מלאה(כ18 אש"ח), חומרי דפוס ולמידה (כ4000 ₪), הרצאות חיצונית (כ4000 ₪)</t>
  </si>
  <si>
    <t>סמינר בן יומיים כולל לילה לינה  כ460 ₪ לעמית בחדר זוגי (25 אש"ח) וכלכלה מלאה(כ12 אש"ח), חללי פעילות בקבוצות קטנות (כ25 אש"ח), סדנת מנהיגות הסתגלותית בהובלת ציונה קניג יאיר(כ30000 ₪),  , חומרי דפוס ולמידה (כ4000 ₪),</t>
  </si>
  <si>
    <t>יומיים כולל לינה בחדרים נפרדים (כ580 ₪ לעמית), פנסיון מלא וכיתות, 33 אש"ח למפגש</t>
  </si>
  <si>
    <t>סה"כ הפעלת המיזם</t>
  </si>
  <si>
    <t>8300 דולר לעמית (3.6 ₪ לדולר), 2000 דולר למלווה</t>
  </si>
  <si>
    <t>עלויות תפעול</t>
  </si>
  <si>
    <t>סה"כ עלויות תפעול</t>
  </si>
  <si>
    <t>ניהול והפעלת המיזם</t>
  </si>
  <si>
    <t>ברוטו לחודש</t>
  </si>
  <si>
    <t>סה"כ משרות</t>
  </si>
  <si>
    <t>הוצאות ביטוחים ומשפטיות עבור הפעלת המיזם</t>
  </si>
  <si>
    <t>עלוית שימוש במתקני הארגון במסגרת פעילות המיזם</t>
  </si>
  <si>
    <t xml:space="preserve">רבעון 1
2021 </t>
  </si>
  <si>
    <t>עלויות ניהול והפעלת המיזם על כל מרכיביו (כולל מיון, מדידה, ייעוץ וכו')</t>
  </si>
  <si>
    <t>שכר רכז ב60 אחוז משרה. תכולת עבודה - הכנת תכנית הערכה ומדידה, העברה וניתוח 3 שאלונים, ניתוח נתונים ופילוחים, תהליך הפקת לקחים, הפקת דוחות בהתאם לדרישה</t>
  </si>
  <si>
    <t>רכז מדידה והערכה</t>
  </si>
  <si>
    <t>הכנת תכנית הערכה ומדידה, העברה וניתוח 3 שאלונים, ניתוח נתונים ופילוחים, תהליך הפקת לקחים, הפקת דוחות בהתאם לדרישה.</t>
  </si>
  <si>
    <t>מסעיף זה מכוסה עלות יחסית של השתתפות בפעילויות רשת כגון אירוע שנתי (כנס שנתי של מעוז),  השתתפות במסעות, אירועים שוטפים כגון סדנאות כניסה לתפקיד, סדנאות מודל לוגי, שיחות רשת בנושאי השעה ויום מקום - 3675 ₪ לחבר רשת בשנה. 54  במחזור א', 61 במחזור ב', 48 במחזור ג'. חישוב לפי החלק היחסי של כל מחזור ברשת</t>
  </si>
  <si>
    <t>חומרים נלווים לכל מחזור  - 50 קלסרי תכנית וציוד עזר לעמיתים (כ4000 ש"ח), כ50 שעות עריכה לשונית ותרגום לביוגרפיות עמיתי התכנית וחומרי רקע (כ15 אש"ח), 85 תגי שם, מדבקות ממותגות, ושרוכים במהלך השנה למחזור (כ1000 ש"ח), 2 רול אפים (כ1000 ש"ח), צילום מקצועי לספר העמיתים (1200 ש"ח), הדפסת 65 תגי שם שולחניים לכל מחזור (600 ש"ח) , כ50 שעות עיצוב גרפי במהלך השנה (15 אש"ח), הדפסת חומרי רקע לתכני הלימוד (כ10 אש"ח), ספרות מקצועית (כ4000 ש"ח) וחומרים נלווים נוספים</t>
  </si>
  <si>
    <t>40 שעות מומחי תוכן העומדים בתנאי יועץ 1 נש"מ בתחום התחום השלטון המקומי (15 אש"ח) , 20 שעות ייעוץ והרצאות לתכנית (כ10 אש"ח),ייעוץ בהכנת חקר לבוסטון (כ15 אש"ח) וקורסי אונליין בתחום השלטון המקומי (כ5000 ₪). על פי מחירי נש"מ</t>
  </si>
  <si>
    <t xml:space="preserve">תמחיר לפי מחזור, שני תהליכי המיון מתוכננים להתרחש בשנת 2019 - איתור מועמדים מתאימים לכל מחזור על פי תמהיל רצוי וקהלי יעד (כ10 אש"ח), השקעה בפרסום ובכלים ייעודים (כ10 אש"ח), הפקת 7 ימי הערכה למיון מועמדים (כ25 אש"ח - עלות חומרים כ4000 ₪, עלות כל יום הערכה כ3000 ש"ח) ו3 ימי ועדות קבלה (כ8000 ש"ח) </t>
  </si>
  <si>
    <t>סמינר בן יומיים כולל לילה לינה כ460 ש"ח לעמית בחדר זוגי(25 אש"ח), חללי פעילות ליומיים (10 אש"ח) וכלכלה מלאה(כ15 אש"ח), פעילות גיבושית (כ7000 ₪), ספר 'מנהיגות במבחן' לכל עמית (כ2600 ₪) , חומרי דפוס ולמידה (כ5000 ₪), הרצאות חיצונית (כ8000 ₪), הוצאות משתנות</t>
  </si>
  <si>
    <t xml:space="preserve">שבוע מלא כולל לילה לינה אחד כ460 ₪ לעמית בחדר זוגי (כ25 אש"ח) וכלכלה מלאה לכל השבוע (כ30 אש"ח) ,  הסעות (6000 ₪), הרצאות (כ5000 ₪), חומרי דפוס ולמידה לשבוע (כ5000 ₪) , חקר מקרה בלוד כולל הנחייה (כ5000 ₪), שכירת חללי פעילות (כ5000 ₪), רכב שכור (כ2000 ₪), מתנות לעמיתים (כ500 ש"ח), </t>
  </si>
  <si>
    <t>שבוע מלא כולל לילה לינה אחד כ460 ₪ לעמית בחדר זוגי  (כ25 אש"ח) וכלכלה מלאה לכל השבוע (כ30 אש"ח) ,  הסעות (כ6000 ₪), הרצאות (כ4000 ₪), חומרי דפוס ולמידה לשבוע (כ5000 ₪) , חקר 4 אתגרים (כ10 אש"ח), שכירת חללי פעילות (כ5000 ₪), רכב שכור (כ2000 ₪)</t>
  </si>
  <si>
    <t>שבוע מלא כולל לילה לינה אחד כ460 ₪ לעמית בחדר זוגי (כ25 אש"ח) וכלכלה מלאה לכל השבוע (כ30 אש"ח) ,  הסעות (4000 ₪), הרצאות (כ4000 ₪), חומרי דפוס ולמידה לשבוע (כ5000 ₪) , צוות מקצועי מלווה מתודלוגית לשבוע (51000 ₪), שכירת חללי פעילות (כ5000 ₪), רכב שכור (כ2000 ₪)</t>
  </si>
  <si>
    <t>העשרות תוכן לעמיתי התכנית מחוץ למפגשים הפורמלים (ביקורי בית, העשרות מגזרים), כ1000 ₪ למפגש עבור חומרי רקע, הכנה, כיבוד וכו'. סה"כ כ15 מפגשים בשנה.</t>
  </si>
  <si>
    <t>חיזוק לימודי אנגלית לקראת שבוע חקר ושבוע הרווארד בארה"ב.  כ200 שיעורים קבוצתיים (300 ₪ לשיעור) לכ40 אחוז מהקבוצה ושיעורים פרטיים למספר עמיתים מצומצם לפי הצורך</t>
  </si>
  <si>
    <t xml:space="preserve">3 ימי הכנה בישראל -  יום הכנה להרווארד (כ22 אש"ח), יום הכנה לחקר (כ22 אש"ח), למידה עם מרצה מהרווארד (כ15 אש"ח). שכירת חללים, כלכלה, הרצאות, הפקה פדגוגית. </t>
  </si>
  <si>
    <t>הכשרה מקוצרת עבור צוותי חברי הרשת שנועדה להקל על חברי הרשת להוביל שינוי במרחבי הפעילות שלהם.3 מחזורי פעילות בשנה -  100 אש"ח למחזור כולל 4 לינות (60 אש"ח), השכרת חללים (15 אש"ח), מזון (15 אש"ח), מרצים (3 אש"ח), ציוד (כ5000 ₪)</t>
  </si>
  <si>
    <t>שירות מחקר של מרכז הידע לתמיכה בתהליכי השינוי בנושאי השלטון המקומי - מחקרים מבוססי נתונים, בניית מודל לוגי וכו'. עלות ממוצעת למחקר - 25,000 לקייס</t>
  </si>
  <si>
    <t>עלות שכר מלווה רשת - שמירת קשר עם חברי הרשת, ליווי והובלת פעילויות ברשת, הפקת אירועים ויזמויות, פיתוח תוכן ייעודי לחברי רשת ממקום. (חישוב לפי 1 משרות עד סוף רבעון 2020 ו1.5 משרות החל מהרבעון השני (סיום מחזור ג') ועד תום החוזה )</t>
  </si>
  <si>
    <t>כ35 מפגשי פעילות; צוותי חשיבה והאקתונים בשנה בעלות 1000 ₪  למפגש, 5 ימי התאמה בעלות 1000 ₪</t>
  </si>
  <si>
    <t xml:space="preserve">ישיבות כלל מיזמיות, ימי למידה על השלטון המקומי לצוות המיזם (15 איש) , שיתופי פעולה עם תכניות עתודה אחרות ועם משרד הפנים. סה"כ כ20 מפגשים בשנה בעלות כ1000 ₪ למפגש. </t>
  </si>
  <si>
    <t>סבסוד לינות בחדר זוגי בזמן שבועות התכנית לעמיתים הגרים בפריפריה, סבסוד מלא או חלקי בהתאם לנוסחא המשקללת מגורים, מקום סיום והתחלת פעילות</t>
  </si>
  <si>
    <t>שלושה מפגשים חד יומיים ומפגש דו יומי אחד למחזור - מפגש חד יומי כולל אולם (2000 ₪), ארוחות (4000 ₪), מרצים וציוד (4000 ₪), מפגש דו יומי כולל בנוסף לינה בחדרים זוגיים כ460 ₪ לעמית.  סה"כ 10 אש"ח לחד יומי ו33 אש"ח לדו יומי</t>
  </si>
  <si>
    <t>שכ"ד למתקני הארגון- 72,000
עלות חודשית מחושבת באופן יחסי 15% אחוז מסך העלות - 10,800</t>
  </si>
  <si>
    <t>ארנונה ומים כולל- 32,500
עלות חודשית מחושבת באופן יחסי 15% אחוז מסך העלות  - 4875</t>
  </si>
  <si>
    <t>עלות ניקיון כוללת- 15,000
עלות חודשית מחושבת באופן יחסי 15% אחוז מסך העלות  - 2250</t>
  </si>
  <si>
    <t>עלות חשמל חודשית- 10,000
עלות חודשית מחושבת באופן יחסי 15% אחוז מסך העלות - 1500</t>
  </si>
  <si>
    <t>15 שעות יעוץ לקייס * 322 ₪ עבור 12 קייסים בשנה</t>
  </si>
  <si>
    <t>תקציב להוצאות בלתי צפויות בכלל המיזם</t>
  </si>
  <si>
    <t>בצ"מ</t>
  </si>
  <si>
    <t>רישות והאצה</t>
  </si>
  <si>
    <t>טכנולוגיה ומרכז מידע</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</si>
</sst>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 &quot;₪&quot;\ * #,##0.00_ ;_ &quot;₪&quot;\ * \-#,##0.00_ ;_ &quot;₪&quot;\ * &quot;-&quot;??_ ;_ @_ "/>
    <numFmt numFmtId="43" formatCode="_ * #,##0.00_ ;_ * \-#,##0.00_ ;_ * &quot;-&quot;??_ ;_ @_ "/>
    <numFmt numFmtId="164" formatCode="&quot;₪&quot;\ #,##0"/>
    <numFmt numFmtId="165" formatCode="&quot;₪&quot;\ #,##0.00"/>
  </numFmts>
  <fonts count="15" x14ac:knownFonts="1">
    <font>
      <sz val="11"/>
      <color theme="1"/>
      <name val="Arial"/>
      <family val="2"/>
      <charset val="177"/>
      <scheme val="minor"/>
    </font>
    <font>
      <sz val="11"/>
      <color theme="1"/>
      <name val="Arial"/>
      <family val="2"/>
      <charset val="177"/>
      <scheme val="minor"/>
    </font>
    <font>
      <sz val="11"/>
      <color theme="0"/>
      <name val="Arial"/>
      <family val="2"/>
      <charset val="177"/>
      <scheme val="minor"/>
    </font>
    <font>
      <b/>
      <sz val="11"/>
      <name val="Gisha"/>
      <family val="2"/>
    </font>
    <font>
      <b/>
      <sz val="12"/>
      <name val="Gisha"/>
      <family val="2"/>
    </font>
    <font>
      <sz val="12"/>
      <name val="Gisha"/>
      <family val="2"/>
    </font>
    <font>
      <sz val="11"/>
      <color theme="1"/>
      <name val="Arial"/>
      <family val="2"/>
      <scheme val="minor"/>
    </font>
    <font>
      <sz val="11"/>
      <name val="Gisha"/>
      <family val="2"/>
    </font>
    <font>
      <sz val="10"/>
      <name val="Gisha"/>
      <family val="2"/>
    </font>
    <font>
      <b/>
      <sz val="10"/>
      <name val="Gisha"/>
      <family val="2"/>
    </font>
    <font>
      <sz val="9"/>
      <name val="Gisha"/>
      <family val="2"/>
    </font>
    <font>
      <sz val="12"/>
      <color theme="1"/>
      <name val="Gisha"/>
      <family val="2"/>
    </font>
    <font>
      <b/>
      <sz val="11"/>
      <color theme="1"/>
      <name val="Arial"/>
      <family val="2"/>
      <scheme val="minor"/>
    </font>
    <font>
      <sz val="11"/>
      <name val="Arial"/>
      <family val="2"/>
      <scheme val="minor"/>
    </font>
    <font>
      <b/>
      <sz val="14"/>
      <name val="Gisha"/>
      <family val="2"/>
    </font>
  </fonts>
  <fills count="12">
    <fill>
      <patternFill patternType="none"/>
    </fill>
    <fill>
      <patternFill patternType="gray125"/>
    </fill>
    <fill>
      <patternFill patternType="solid">
        <fgColor theme="7"/>
      </patternFill>
    </fill>
    <fill>
      <patternFill patternType="solid">
        <fgColor theme="2" tint="-0.249977111117893"/>
        <bgColor indexed="64"/>
      </patternFill>
    </fill>
    <fill>
      <patternFill patternType="solid">
        <fgColor theme="4" tint="0.59999389629810485"/>
        <bgColor indexed="64"/>
      </patternFill>
    </fill>
    <fill>
      <patternFill patternType="solid">
        <fgColor theme="0"/>
        <bgColor indexed="64"/>
      </patternFill>
    </fill>
    <fill>
      <patternFill patternType="solid">
        <fgColor theme="6" tint="0.59999389629810485"/>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7" tint="0.59999389629810485"/>
        <bgColor indexed="64"/>
      </patternFill>
    </fill>
  </fills>
  <borders count="18">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43" fontId="1" fillId="0" borderId="0" applyFont="0" applyFill="0" applyBorder="0" applyAlignment="0" applyProtection="0"/>
    <xf numFmtId="0" fontId="2" fillId="2" borderId="0" applyNumberFormat="0" applyBorder="0" applyAlignment="0" applyProtection="0"/>
    <xf numFmtId="0" fontId="1" fillId="0" borderId="0"/>
    <xf numFmtId="0" fontId="6" fillId="0" borderId="0"/>
    <xf numFmtId="44" fontId="1" fillId="0" borderId="0" applyFont="0" applyFill="0" applyBorder="0" applyAlignment="0" applyProtection="0"/>
    <xf numFmtId="9" fontId="1" fillId="0" borderId="0" applyFont="0" applyFill="0" applyBorder="0" applyAlignment="0" applyProtection="0"/>
  </cellStyleXfs>
  <cellXfs count="75">
    <xf numFmtId="0" fontId="0" fillId="0" borderId="0" xfId="0"/>
    <xf numFmtId="165" fontId="4" fillId="4" borderId="2" xfId="1" applyNumberFormat="1" applyFont="1" applyFill="1" applyBorder="1" applyAlignment="1">
      <alignment horizontal="center" vertical="center" wrapText="1"/>
    </xf>
    <xf numFmtId="164" fontId="4" fillId="3" borderId="3" xfId="1" applyNumberFormat="1" applyFont="1" applyFill="1" applyBorder="1" applyAlignment="1">
      <alignment horizontal="center" vertical="center" wrapText="1"/>
    </xf>
    <xf numFmtId="164" fontId="7" fillId="0" borderId="0" xfId="1" applyNumberFormat="1" applyFont="1" applyFill="1" applyAlignment="1">
      <alignment horizontal="center"/>
    </xf>
    <xf numFmtId="164" fontId="7" fillId="0" borderId="0" xfId="1" applyNumberFormat="1" applyFont="1" applyFill="1" applyAlignment="1">
      <alignment horizontal="center" wrapText="1"/>
    </xf>
    <xf numFmtId="164" fontId="7" fillId="0" borderId="0" xfId="0" applyNumberFormat="1" applyFont="1" applyFill="1" applyAlignment="1">
      <alignment horizontal="center"/>
    </xf>
    <xf numFmtId="164" fontId="7" fillId="0" borderId="0" xfId="0" applyNumberFormat="1" applyFont="1" applyAlignment="1">
      <alignment horizontal="center"/>
    </xf>
    <xf numFmtId="164" fontId="4" fillId="4" borderId="2" xfId="1" applyNumberFormat="1" applyFont="1" applyFill="1" applyBorder="1" applyAlignment="1">
      <alignment horizontal="center" vertical="center" wrapText="1"/>
    </xf>
    <xf numFmtId="164" fontId="4" fillId="0" borderId="2" xfId="1" applyNumberFormat="1" applyFont="1" applyFill="1" applyBorder="1" applyAlignment="1">
      <alignment horizontal="center" vertical="center" wrapText="1"/>
    </xf>
    <xf numFmtId="164" fontId="5" fillId="0" borderId="2" xfId="1" applyNumberFormat="1" applyFont="1" applyFill="1" applyBorder="1" applyAlignment="1">
      <alignment horizontal="center" vertical="center" wrapText="1"/>
    </xf>
    <xf numFmtId="164" fontId="5" fillId="5" borderId="2" xfId="1" applyNumberFormat="1" applyFont="1" applyFill="1" applyBorder="1" applyAlignment="1">
      <alignment horizontal="center" vertical="center" wrapText="1"/>
    </xf>
    <xf numFmtId="164" fontId="5" fillId="0" borderId="2" xfId="1" applyNumberFormat="1" applyFont="1" applyBorder="1" applyAlignment="1">
      <alignment horizontal="center" vertical="center" wrapText="1"/>
    </xf>
    <xf numFmtId="164" fontId="3" fillId="2" borderId="2" xfId="2" applyNumberFormat="1" applyFont="1" applyBorder="1" applyAlignment="1">
      <alignment horizontal="center" vertical="center" wrapText="1"/>
    </xf>
    <xf numFmtId="164" fontId="7" fillId="0" borderId="0" xfId="2" applyNumberFormat="1" applyFont="1" applyFill="1" applyAlignment="1">
      <alignment horizontal="center"/>
    </xf>
    <xf numFmtId="164" fontId="3" fillId="2" borderId="1" xfId="2" applyNumberFormat="1" applyFont="1" applyBorder="1" applyAlignment="1">
      <alignment horizontal="center" vertical="center" wrapText="1"/>
    </xf>
    <xf numFmtId="164" fontId="3" fillId="2" borderId="2" xfId="2" applyNumberFormat="1" applyFont="1" applyBorder="1" applyAlignment="1">
      <alignment horizontal="center" vertical="center"/>
    </xf>
    <xf numFmtId="164" fontId="4" fillId="6" borderId="2" xfId="1" applyNumberFormat="1" applyFont="1" applyFill="1" applyBorder="1" applyAlignment="1">
      <alignment horizontal="center" vertical="center" wrapText="1"/>
    </xf>
    <xf numFmtId="164" fontId="4" fillId="0" borderId="4" xfId="1" applyNumberFormat="1" applyFont="1" applyFill="1" applyBorder="1" applyAlignment="1">
      <alignment horizontal="center" vertical="center" wrapText="1"/>
    </xf>
    <xf numFmtId="164" fontId="8" fillId="0" borderId="2" xfId="1" applyNumberFormat="1" applyFont="1" applyBorder="1" applyAlignment="1">
      <alignment horizontal="center" vertical="center" wrapText="1" readingOrder="2"/>
    </xf>
    <xf numFmtId="164" fontId="9" fillId="0" borderId="2" xfId="1" applyNumberFormat="1" applyFont="1" applyFill="1" applyBorder="1" applyAlignment="1">
      <alignment horizontal="center" vertical="center" wrapText="1" readingOrder="2"/>
    </xf>
    <xf numFmtId="164" fontId="8" fillId="0" borderId="2" xfId="1" applyNumberFormat="1" applyFont="1" applyFill="1" applyBorder="1" applyAlignment="1">
      <alignment horizontal="center" vertical="center" wrapText="1" readingOrder="2"/>
    </xf>
    <xf numFmtId="164" fontId="8" fillId="5" borderId="2" xfId="1" applyNumberFormat="1" applyFont="1" applyFill="1" applyBorder="1" applyAlignment="1">
      <alignment horizontal="center" vertical="center" wrapText="1" readingOrder="2"/>
    </xf>
    <xf numFmtId="164" fontId="9" fillId="2" borderId="2" xfId="2" applyNumberFormat="1" applyFont="1" applyBorder="1" applyAlignment="1">
      <alignment horizontal="center" vertical="center" wrapText="1" readingOrder="2"/>
    </xf>
    <xf numFmtId="164" fontId="9" fillId="0" borderId="2" xfId="1" applyNumberFormat="1" applyFont="1" applyFill="1" applyBorder="1" applyAlignment="1">
      <alignment horizontal="center" vertical="top" wrapText="1" readingOrder="2"/>
    </xf>
    <xf numFmtId="164" fontId="9" fillId="2" borderId="1" xfId="2" applyNumberFormat="1" applyFont="1" applyBorder="1" applyAlignment="1">
      <alignment horizontal="center" vertical="center" wrapText="1" readingOrder="2"/>
    </xf>
    <xf numFmtId="164" fontId="8" fillId="0" borderId="4" xfId="1" applyNumberFormat="1" applyFont="1" applyFill="1" applyBorder="1" applyAlignment="1">
      <alignment horizontal="center" vertical="center" wrapText="1" readingOrder="2"/>
    </xf>
    <xf numFmtId="164" fontId="8" fillId="0" borderId="0" xfId="0" applyNumberFormat="1" applyFont="1" applyAlignment="1">
      <alignment horizontal="center" readingOrder="2"/>
    </xf>
    <xf numFmtId="164" fontId="3" fillId="5" borderId="2" xfId="2" applyNumberFormat="1" applyFont="1" applyFill="1" applyBorder="1" applyAlignment="1">
      <alignment horizontal="center" vertical="center" wrapText="1"/>
    </xf>
    <xf numFmtId="164" fontId="4" fillId="0" borderId="1" xfId="1" applyNumberFormat="1" applyFont="1" applyFill="1" applyBorder="1" applyAlignment="1">
      <alignment horizontal="center" vertical="center" wrapText="1"/>
    </xf>
    <xf numFmtId="164" fontId="7" fillId="5" borderId="2" xfId="2" applyNumberFormat="1" applyFont="1" applyFill="1" applyBorder="1" applyAlignment="1">
      <alignment horizontal="center" vertical="center" wrapText="1"/>
    </xf>
    <xf numFmtId="164" fontId="4" fillId="7" borderId="2" xfId="1" applyNumberFormat="1" applyFont="1" applyFill="1" applyBorder="1" applyAlignment="1">
      <alignment horizontal="center" vertical="center" wrapText="1"/>
    </xf>
    <xf numFmtId="165" fontId="5" fillId="5" borderId="2" xfId="1" applyNumberFormat="1" applyFont="1" applyFill="1" applyBorder="1" applyAlignment="1">
      <alignment horizontal="center" vertical="center" wrapText="1"/>
    </xf>
    <xf numFmtId="164" fontId="7" fillId="5" borderId="2" xfId="2" applyNumberFormat="1" applyFont="1" applyFill="1" applyBorder="1" applyAlignment="1">
      <alignment horizontal="center" vertical="center" wrapText="1" readingOrder="2"/>
    </xf>
    <xf numFmtId="0" fontId="0" fillId="0" borderId="2" xfId="0" applyBorder="1" applyAlignment="1">
      <alignment horizontal="right" readingOrder="2"/>
    </xf>
    <xf numFmtId="0" fontId="0" fillId="8" borderId="2" xfId="0" applyFill="1" applyBorder="1" applyAlignment="1">
      <alignment horizontal="right" readingOrder="2"/>
    </xf>
    <xf numFmtId="0" fontId="0" fillId="0" borderId="2" xfId="6" applyNumberFormat="1" applyFont="1" applyBorder="1" applyAlignment="1">
      <alignment horizontal="right" readingOrder="2"/>
    </xf>
    <xf numFmtId="164" fontId="10" fillId="0" borderId="2" xfId="1" applyNumberFormat="1" applyFont="1" applyFill="1" applyBorder="1" applyAlignment="1">
      <alignment vertical="center" wrapText="1"/>
    </xf>
    <xf numFmtId="9" fontId="0" fillId="0" borderId="2" xfId="6" applyNumberFormat="1" applyFont="1" applyBorder="1" applyAlignment="1">
      <alignment horizontal="right" readingOrder="2"/>
    </xf>
    <xf numFmtId="0" fontId="11" fillId="0" borderId="1" xfId="3" applyFont="1" applyBorder="1" applyAlignment="1">
      <alignment horizontal="right" vertical="center" wrapText="1" readingOrder="2"/>
    </xf>
    <xf numFmtId="164" fontId="7" fillId="5" borderId="2" xfId="2" applyNumberFormat="1" applyFont="1" applyFill="1" applyBorder="1" applyAlignment="1">
      <alignment horizontal="center" vertical="center"/>
    </xf>
    <xf numFmtId="164" fontId="7" fillId="2" borderId="2" xfId="2" applyNumberFormat="1" applyFont="1" applyBorder="1" applyAlignment="1">
      <alignment horizontal="center" vertical="center" wrapText="1"/>
    </xf>
    <xf numFmtId="0" fontId="0" fillId="0" borderId="6" xfId="0" applyBorder="1" applyAlignment="1">
      <alignment horizontal="right" readingOrder="2"/>
    </xf>
    <xf numFmtId="0" fontId="0" fillId="0" borderId="7" xfId="0" applyBorder="1" applyAlignment="1">
      <alignment horizontal="right" readingOrder="2"/>
    </xf>
    <xf numFmtId="0" fontId="0" fillId="0" borderId="8" xfId="0" applyBorder="1" applyAlignment="1">
      <alignment horizontal="right" readingOrder="2"/>
    </xf>
    <xf numFmtId="0" fontId="0" fillId="0" borderId="9" xfId="0" applyBorder="1" applyAlignment="1">
      <alignment horizontal="right" readingOrder="2"/>
    </xf>
    <xf numFmtId="0" fontId="0" fillId="0" borderId="10" xfId="0" applyBorder="1" applyAlignment="1">
      <alignment horizontal="right" readingOrder="2"/>
    </xf>
    <xf numFmtId="0" fontId="0" fillId="10" borderId="2" xfId="0" applyFill="1" applyBorder="1" applyAlignment="1">
      <alignment horizontal="right" readingOrder="2"/>
    </xf>
    <xf numFmtId="0" fontId="12" fillId="9" borderId="2" xfId="0" applyFont="1" applyFill="1" applyBorder="1" applyAlignment="1">
      <alignment horizontal="right" readingOrder="2"/>
    </xf>
    <xf numFmtId="164" fontId="0" fillId="0" borderId="6" xfId="0" applyNumberFormat="1" applyBorder="1" applyAlignment="1">
      <alignment horizontal="right" readingOrder="2"/>
    </xf>
    <xf numFmtId="164" fontId="7" fillId="0" borderId="0" xfId="1" applyNumberFormat="1" applyFont="1" applyFill="1" applyAlignment="1">
      <alignment horizontal="center" vertical="center"/>
    </xf>
    <xf numFmtId="164" fontId="10" fillId="0" borderId="11" xfId="1" applyNumberFormat="1" applyFont="1" applyFill="1" applyBorder="1" applyAlignment="1">
      <alignment vertical="center" wrapText="1"/>
    </xf>
    <xf numFmtId="164" fontId="10" fillId="0" borderId="16" xfId="1" applyNumberFormat="1" applyFont="1" applyFill="1" applyBorder="1" applyAlignment="1">
      <alignment vertical="center" wrapText="1"/>
    </xf>
    <xf numFmtId="0" fontId="0" fillId="0" borderId="12" xfId="0" applyBorder="1" applyAlignment="1">
      <alignment horizontal="right" readingOrder="2"/>
    </xf>
    <xf numFmtId="164" fontId="13" fillId="0" borderId="2" xfId="1" applyNumberFormat="1" applyFont="1" applyFill="1" applyBorder="1" applyAlignment="1">
      <alignment vertical="center" wrapText="1"/>
    </xf>
    <xf numFmtId="0" fontId="0" fillId="0" borderId="2" xfId="0" applyBorder="1" applyAlignment="1">
      <alignment horizontal="right" wrapText="1" readingOrder="2"/>
    </xf>
    <xf numFmtId="164" fontId="8" fillId="0" borderId="2" xfId="2" applyNumberFormat="1" applyFont="1" applyFill="1" applyBorder="1" applyAlignment="1">
      <alignment horizontal="right" vertical="center" wrapText="1" readingOrder="2"/>
    </xf>
    <xf numFmtId="0" fontId="0" fillId="0" borderId="11" xfId="0" applyBorder="1" applyAlignment="1">
      <alignment horizontal="center" readingOrder="2"/>
    </xf>
    <xf numFmtId="0" fontId="0" fillId="0" borderId="16" xfId="0" applyBorder="1" applyAlignment="1">
      <alignment horizontal="center" readingOrder="2"/>
    </xf>
    <xf numFmtId="0" fontId="0" fillId="0" borderId="12" xfId="0" applyBorder="1" applyAlignment="1">
      <alignment horizontal="center" readingOrder="2"/>
    </xf>
    <xf numFmtId="0" fontId="0" fillId="0" borderId="13" xfId="0" applyBorder="1" applyAlignment="1">
      <alignment horizontal="center" readingOrder="2"/>
    </xf>
    <xf numFmtId="0" fontId="0" fillId="0" borderId="0" xfId="0" applyBorder="1" applyAlignment="1">
      <alignment horizontal="center" readingOrder="2"/>
    </xf>
    <xf numFmtId="0" fontId="0" fillId="0" borderId="5" xfId="0" applyBorder="1" applyAlignment="1">
      <alignment horizontal="center" readingOrder="2"/>
    </xf>
    <xf numFmtId="0" fontId="0" fillId="0" borderId="14" xfId="0" applyBorder="1" applyAlignment="1">
      <alignment horizontal="center" readingOrder="2"/>
    </xf>
    <xf numFmtId="0" fontId="0" fillId="0" borderId="17" xfId="0" applyBorder="1" applyAlignment="1">
      <alignment horizontal="center" readingOrder="2"/>
    </xf>
    <xf numFmtId="0" fontId="0" fillId="0" borderId="15" xfId="0" applyBorder="1" applyAlignment="1">
      <alignment horizontal="center" readingOrder="2"/>
    </xf>
    <xf numFmtId="164" fontId="4" fillId="11" borderId="2" xfId="1" applyNumberFormat="1" applyFont="1" applyFill="1" applyBorder="1" applyAlignment="1">
      <alignment horizontal="center" vertical="center" wrapText="1"/>
    </xf>
    <xf numFmtId="164" fontId="8" fillId="11" borderId="2" xfId="1" applyNumberFormat="1" applyFont="1" applyFill="1" applyBorder="1" applyAlignment="1">
      <alignment horizontal="center" vertical="center" wrapText="1" readingOrder="2"/>
    </xf>
    <xf numFmtId="164" fontId="8" fillId="7" borderId="2" xfId="1" applyNumberFormat="1" applyFont="1" applyFill="1" applyBorder="1" applyAlignment="1">
      <alignment horizontal="center" vertical="center" wrapText="1" readingOrder="2"/>
    </xf>
    <xf numFmtId="164" fontId="4" fillId="2" borderId="2" xfId="2" applyNumberFormat="1" applyFont="1" applyBorder="1" applyAlignment="1">
      <alignment horizontal="center" vertical="center" wrapText="1"/>
    </xf>
    <xf numFmtId="164" fontId="3" fillId="0" borderId="0" xfId="1" applyNumberFormat="1" applyFont="1" applyFill="1" applyAlignment="1">
      <alignment horizontal="center" vertical="center"/>
    </xf>
    <xf numFmtId="164" fontId="7" fillId="0" borderId="0" xfId="0" applyNumberFormat="1" applyFont="1" applyFill="1" applyAlignment="1">
      <alignment horizontal="center" vertical="center"/>
    </xf>
    <xf numFmtId="164" fontId="7" fillId="0" borderId="0" xfId="0" applyNumberFormat="1" applyFont="1" applyAlignment="1">
      <alignment horizontal="center" vertical="center"/>
    </xf>
    <xf numFmtId="164" fontId="14" fillId="3" borderId="3" xfId="1" applyNumberFormat="1" applyFont="1" applyFill="1" applyBorder="1" applyAlignment="1">
      <alignment horizontal="center" vertical="center" wrapText="1"/>
    </xf>
    <xf numFmtId="0" fontId="14" fillId="3" borderId="3" xfId="1" applyNumberFormat="1" applyFont="1" applyFill="1" applyBorder="1" applyAlignment="1">
      <alignment horizontal="center" vertical="center" wrapText="1"/>
    </xf>
    <xf numFmtId="164" fontId="9" fillId="11" borderId="2" xfId="1" applyNumberFormat="1" applyFont="1" applyFill="1" applyBorder="1" applyAlignment="1">
      <alignment horizontal="center" vertical="center" wrapText="1" readingOrder="2"/>
    </xf>
  </cellXfs>
  <cellStyles count="7">
    <cellStyle name="Comma" xfId="1" builtinId="3"/>
    <cellStyle name="Currency 3" xfId="5"/>
    <cellStyle name="Normal" xfId="0" builtinId="0"/>
    <cellStyle name="Normal 2" xfId="4"/>
    <cellStyle name="Normal 5" xfId="3"/>
    <cellStyle name="Percent" xfId="6" builtinId="5"/>
    <cellStyle name="הדגשה4" xfId="2" builtinId="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yael/Local%20Settings/Temporary%20Internet%20Files/OLK2/11%20&#1514;&#1511;&#1510;&#1497;&#1489;%20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1"/>
      <sheetName val="מקורות"/>
      <sheetName val="ניתוח הנהלה וכלליות"/>
      <sheetName val="Sheet1"/>
      <sheetName val="תקציב תשסז"/>
      <sheetName val="גיבויים  ובלתי צפויים"/>
    </sheetNames>
    <sheetDataSet>
      <sheetData sheetId="0" refreshError="1"/>
      <sheetData sheetId="1" refreshError="1"/>
      <sheetData sheetId="2" refreshError="1"/>
      <sheetData sheetId="3" refreshError="1"/>
      <sheetData sheetId="4" refreshError="1">
        <row r="1">
          <cell r="A1">
            <v>4.3</v>
          </cell>
        </row>
        <row r="46">
          <cell r="F46">
            <v>34</v>
          </cell>
          <cell r="G46">
            <v>24</v>
          </cell>
          <cell r="H46">
            <v>30</v>
          </cell>
          <cell r="I46">
            <v>35</v>
          </cell>
        </row>
        <row r="47">
          <cell r="C47">
            <v>30000</v>
          </cell>
        </row>
        <row r="48">
          <cell r="C48">
            <v>11500</v>
          </cell>
        </row>
        <row r="49">
          <cell r="C49">
            <v>30000</v>
          </cell>
        </row>
        <row r="97">
          <cell r="G97">
            <v>75</v>
          </cell>
          <cell r="H97">
            <v>95</v>
          </cell>
          <cell r="I97">
            <v>143</v>
          </cell>
          <cell r="J97">
            <v>200</v>
          </cell>
        </row>
      </sheetData>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1"/>
  <sheetViews>
    <sheetView rightToLeft="1" workbookViewId="0">
      <selection activeCell="B11" sqref="B11"/>
    </sheetView>
  </sheetViews>
  <sheetFormatPr defaultColWidth="30.25" defaultRowHeight="15" x14ac:dyDescent="0.25"/>
  <cols>
    <col min="1" max="1" width="32.375" style="6" customWidth="1"/>
    <col min="2" max="2" width="28.375" style="6" customWidth="1"/>
    <col min="3" max="37" width="30.25" style="5"/>
    <col min="38" max="16384" width="30.25" style="6"/>
  </cols>
  <sheetData>
    <row r="1" spans="1:5" ht="15.75" x14ac:dyDescent="0.25">
      <c r="A1" s="2" t="s">
        <v>0</v>
      </c>
      <c r="B1" s="2" t="s">
        <v>19</v>
      </c>
      <c r="C1" s="3"/>
      <c r="D1" s="4"/>
      <c r="E1" s="3"/>
    </row>
    <row r="2" spans="1:5" x14ac:dyDescent="0.25">
      <c r="A2" s="12" t="s">
        <v>114</v>
      </c>
      <c r="B2" s="12">
        <f>'פירוט סעיפים'!F11</f>
        <v>2757266.25</v>
      </c>
      <c r="C2" s="3"/>
      <c r="D2" s="3"/>
      <c r="E2" s="3"/>
    </row>
    <row r="3" spans="1:5" x14ac:dyDescent="0.25">
      <c r="A3" s="12" t="s">
        <v>18</v>
      </c>
      <c r="B3" s="12">
        <f>'פירוט סעיפים'!F33</f>
        <v>10148861</v>
      </c>
      <c r="C3" s="3"/>
      <c r="D3" s="3"/>
      <c r="E3" s="3"/>
    </row>
    <row r="4" spans="1:5" x14ac:dyDescent="0.25">
      <c r="A4" s="14" t="s">
        <v>149</v>
      </c>
      <c r="B4" s="12">
        <f>'פירוט סעיפים'!F42</f>
        <v>3897591.25</v>
      </c>
      <c r="C4" s="3"/>
      <c r="D4" s="3"/>
      <c r="E4" s="3"/>
    </row>
    <row r="5" spans="1:5" x14ac:dyDescent="0.25">
      <c r="A5" s="12" t="s">
        <v>60</v>
      </c>
      <c r="B5" s="12">
        <f>'פירוט סעיפים'!F49</f>
        <v>1431000</v>
      </c>
      <c r="C5" s="3"/>
      <c r="D5" s="3"/>
      <c r="E5" s="3"/>
    </row>
    <row r="6" spans="1:5" x14ac:dyDescent="0.25">
      <c r="A6" s="12" t="s">
        <v>150</v>
      </c>
      <c r="B6" s="12">
        <f>'פירוט סעיפים'!F50</f>
        <v>800000</v>
      </c>
      <c r="C6" s="3"/>
      <c r="D6" s="3"/>
      <c r="E6" s="3"/>
    </row>
    <row r="7" spans="1:5" x14ac:dyDescent="0.25">
      <c r="A7" s="12" t="s">
        <v>14</v>
      </c>
      <c r="B7" s="12">
        <f>'פירוט סעיפים'!F52</f>
        <v>205000</v>
      </c>
      <c r="C7" s="3"/>
      <c r="D7" s="3"/>
      <c r="E7" s="3"/>
    </row>
    <row r="8" spans="1:5" x14ac:dyDescent="0.25">
      <c r="A8" s="12" t="s">
        <v>112</v>
      </c>
      <c r="B8" s="12">
        <f>'פירוט סעיפים'!F57</f>
        <v>524475</v>
      </c>
      <c r="C8" s="3"/>
      <c r="D8" s="3"/>
      <c r="E8" s="3"/>
    </row>
    <row r="9" spans="1:5" x14ac:dyDescent="0.25">
      <c r="A9" s="12" t="s">
        <v>148</v>
      </c>
      <c r="B9" s="12">
        <f>'פירוט סעיפים'!F59</f>
        <v>225000</v>
      </c>
      <c r="C9" s="3"/>
      <c r="D9" s="3"/>
      <c r="E9" s="3"/>
    </row>
    <row r="10" spans="1:5" ht="15.75" x14ac:dyDescent="0.25">
      <c r="A10" s="16" t="s">
        <v>16</v>
      </c>
      <c r="B10" s="7">
        <f>SUM(B2:B9)</f>
        <v>19989193.5</v>
      </c>
      <c r="C10" s="3"/>
      <c r="D10" s="3"/>
      <c r="E10" s="3"/>
    </row>
    <row r="11" spans="1:5" ht="16.5" thickBot="1" x14ac:dyDescent="0.3">
      <c r="A11" s="17" t="s">
        <v>17</v>
      </c>
      <c r="B11" s="1">
        <f>B10/2</f>
        <v>9994596.75</v>
      </c>
      <c r="C11" s="3"/>
      <c r="D11" s="3"/>
      <c r="E11" s="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61"/>
  <sheetViews>
    <sheetView rightToLeft="1" tabSelected="1" zoomScale="80" zoomScaleNormal="80" workbookViewId="0">
      <pane ySplit="1" topLeftCell="A2" activePane="bottomLeft" state="frozen"/>
      <selection pane="bottomLeft" activeCell="F62" sqref="F62:F63"/>
    </sheetView>
  </sheetViews>
  <sheetFormatPr defaultColWidth="30.25" defaultRowHeight="69.75" customHeight="1" x14ac:dyDescent="0.25"/>
  <cols>
    <col min="1" max="1" width="24.875" style="6" customWidth="1"/>
    <col min="2" max="2" width="62.125" style="26" customWidth="1"/>
    <col min="3" max="3" width="17.125" style="6" customWidth="1"/>
    <col min="4" max="4" width="22.875" style="6" customWidth="1"/>
    <col min="5" max="5" width="21.375" style="6" customWidth="1"/>
    <col min="6" max="6" width="30.25" style="6"/>
    <col min="7" max="7" width="32.875" style="5" customWidth="1"/>
    <col min="8" max="41" width="30.25" style="5"/>
    <col min="42" max="16384" width="30.25" style="6"/>
  </cols>
  <sheetData>
    <row r="1" spans="1:9" ht="69.75" customHeight="1" x14ac:dyDescent="0.25">
      <c r="A1" s="72" t="s">
        <v>0</v>
      </c>
      <c r="B1" s="72" t="s">
        <v>1</v>
      </c>
      <c r="C1" s="73">
        <v>2019</v>
      </c>
      <c r="D1" s="73">
        <v>2020</v>
      </c>
      <c r="E1" s="73" t="s">
        <v>119</v>
      </c>
      <c r="F1" s="72" t="s">
        <v>19</v>
      </c>
      <c r="G1" s="49">
        <f>F60</f>
        <v>19989193.5</v>
      </c>
      <c r="H1" s="4"/>
      <c r="I1" s="3"/>
    </row>
    <row r="2" spans="1:9" ht="52.5" customHeight="1" x14ac:dyDescent="0.25">
      <c r="A2" s="7" t="s">
        <v>114</v>
      </c>
      <c r="B2" s="19" t="s">
        <v>120</v>
      </c>
      <c r="C2" s="8"/>
      <c r="D2" s="8"/>
      <c r="E2" s="8"/>
      <c r="F2" s="7"/>
      <c r="G2" s="3"/>
      <c r="H2" s="3"/>
      <c r="I2" s="3"/>
    </row>
    <row r="3" spans="1:9" ht="36.75" customHeight="1" x14ac:dyDescent="0.25">
      <c r="A3" s="9" t="s">
        <v>2</v>
      </c>
      <c r="B3" s="20" t="s">
        <v>105</v>
      </c>
      <c r="C3" s="9">
        <v>390449</v>
      </c>
      <c r="D3" s="10">
        <f>C3</f>
        <v>390449</v>
      </c>
      <c r="E3" s="31">
        <f>D3/4</f>
        <v>97612.25</v>
      </c>
      <c r="F3" s="7">
        <f t="shared" ref="F3:F11" si="0">SUM(C3:E3)</f>
        <v>878510.25</v>
      </c>
      <c r="G3" s="3"/>
      <c r="H3" s="3"/>
      <c r="I3" s="3"/>
    </row>
    <row r="4" spans="1:9" ht="31.5" customHeight="1" x14ac:dyDescent="0.25">
      <c r="A4" s="9" t="s">
        <v>20</v>
      </c>
      <c r="B4" s="20" t="s">
        <v>21</v>
      </c>
      <c r="C4" s="9">
        <f>(477600)-117000</f>
        <v>360600</v>
      </c>
      <c r="D4" s="10">
        <f>477600</f>
        <v>477600</v>
      </c>
      <c r="E4" s="10">
        <f>D4/4</f>
        <v>119400</v>
      </c>
      <c r="F4" s="7">
        <f t="shared" si="0"/>
        <v>957600</v>
      </c>
      <c r="G4" s="3"/>
      <c r="H4" s="3"/>
      <c r="I4" s="3"/>
    </row>
    <row r="5" spans="1:9" ht="45" customHeight="1" x14ac:dyDescent="0.25">
      <c r="A5" s="9" t="s">
        <v>5</v>
      </c>
      <c r="B5" s="20" t="s">
        <v>121</v>
      </c>
      <c r="C5" s="9">
        <v>81000</v>
      </c>
      <c r="D5" s="10">
        <v>83025</v>
      </c>
      <c r="E5" s="31">
        <v>20756</v>
      </c>
      <c r="F5" s="7">
        <f t="shared" si="0"/>
        <v>184781</v>
      </c>
      <c r="G5" s="3"/>
      <c r="H5" s="3"/>
      <c r="I5" s="3"/>
    </row>
    <row r="6" spans="1:9" ht="76.5" x14ac:dyDescent="0.25">
      <c r="A6" s="10" t="s">
        <v>8</v>
      </c>
      <c r="B6" s="20" t="s">
        <v>125</v>
      </c>
      <c r="C6" s="9">
        <v>50000</v>
      </c>
      <c r="D6" s="9">
        <v>60000</v>
      </c>
      <c r="E6" s="9">
        <v>15000</v>
      </c>
      <c r="F6" s="7">
        <f t="shared" si="0"/>
        <v>125000</v>
      </c>
      <c r="G6" s="3"/>
      <c r="H6" s="3"/>
      <c r="I6" s="3"/>
    </row>
    <row r="7" spans="1:9" ht="37.5" customHeight="1" x14ac:dyDescent="0.25">
      <c r="A7" s="11" t="s">
        <v>4</v>
      </c>
      <c r="B7" s="18" t="s">
        <v>126</v>
      </c>
      <c r="C7" s="9">
        <v>50000</v>
      </c>
      <c r="D7" s="9">
        <v>60000</v>
      </c>
      <c r="E7" s="9">
        <v>15000</v>
      </c>
      <c r="F7" s="7">
        <f t="shared" si="0"/>
        <v>125000</v>
      </c>
      <c r="G7" s="3"/>
      <c r="H7" s="3"/>
      <c r="I7" s="3"/>
    </row>
    <row r="8" spans="1:9" ht="38.25" x14ac:dyDescent="0.25">
      <c r="A8" s="11" t="s">
        <v>22</v>
      </c>
      <c r="B8" s="18" t="s">
        <v>139</v>
      </c>
      <c r="C8" s="10">
        <v>30000</v>
      </c>
      <c r="D8" s="10">
        <v>30000</v>
      </c>
      <c r="E8" s="9">
        <v>10000</v>
      </c>
      <c r="F8" s="7">
        <f t="shared" si="0"/>
        <v>70000</v>
      </c>
      <c r="G8" s="3"/>
      <c r="H8" s="3"/>
      <c r="I8" s="3"/>
    </row>
    <row r="9" spans="1:9" ht="15.75" x14ac:dyDescent="0.25">
      <c r="A9" s="9" t="s">
        <v>3</v>
      </c>
      <c r="B9" s="20" t="s">
        <v>92</v>
      </c>
      <c r="C9" s="10">
        <v>135900</v>
      </c>
      <c r="D9" s="10">
        <f>C9</f>
        <v>135900</v>
      </c>
      <c r="E9" s="10">
        <f>D9/4</f>
        <v>33975</v>
      </c>
      <c r="F9" s="7">
        <f t="shared" si="0"/>
        <v>305775</v>
      </c>
      <c r="G9" s="3"/>
      <c r="H9" s="3"/>
      <c r="I9" s="3"/>
    </row>
    <row r="10" spans="1:9" ht="51" x14ac:dyDescent="0.25">
      <c r="A10" s="9" t="s">
        <v>24</v>
      </c>
      <c r="B10" s="20" t="s">
        <v>127</v>
      </c>
      <c r="C10" s="10">
        <v>110600</v>
      </c>
      <c r="D10" s="9"/>
      <c r="E10" s="9"/>
      <c r="F10" s="7">
        <f t="shared" si="0"/>
        <v>110600</v>
      </c>
      <c r="G10" s="3"/>
      <c r="H10" s="3"/>
      <c r="I10" s="3"/>
    </row>
    <row r="11" spans="1:9" s="13" customFormat="1" ht="30" customHeight="1" x14ac:dyDescent="0.25">
      <c r="A11" s="12" t="s">
        <v>110</v>
      </c>
      <c r="B11" s="22"/>
      <c r="C11" s="12">
        <f>SUM(C2:C10)</f>
        <v>1208549</v>
      </c>
      <c r="D11" s="12">
        <f>SUM(D2:D10)</f>
        <v>1236974</v>
      </c>
      <c r="E11" s="12">
        <f>SUM(E2:E10)</f>
        <v>311743.25</v>
      </c>
      <c r="F11" s="68">
        <f t="shared" si="0"/>
        <v>2757266.25</v>
      </c>
      <c r="G11" s="3"/>
    </row>
    <row r="12" spans="1:9" ht="33.75" customHeight="1" x14ac:dyDescent="0.25">
      <c r="A12" s="7" t="s">
        <v>25</v>
      </c>
      <c r="B12" s="19" t="s">
        <v>59</v>
      </c>
      <c r="C12" s="8"/>
      <c r="D12" s="8"/>
      <c r="E12" s="8"/>
      <c r="F12" s="7"/>
      <c r="G12" s="3"/>
      <c r="H12" s="3"/>
      <c r="I12" s="3"/>
    </row>
    <row r="13" spans="1:9" ht="75" customHeight="1" x14ac:dyDescent="0.25">
      <c r="A13" s="10" t="s">
        <v>57</v>
      </c>
      <c r="B13" s="21" t="s">
        <v>66</v>
      </c>
      <c r="C13" s="9">
        <f>652920-243429</f>
        <v>409491</v>
      </c>
      <c r="D13" s="10">
        <f>652920</f>
        <v>652920</v>
      </c>
      <c r="E13" s="10">
        <f>D13/4</f>
        <v>163230</v>
      </c>
      <c r="F13" s="7">
        <f t="shared" ref="F13:F33" si="1">SUM(C13:E13)</f>
        <v>1225641</v>
      </c>
      <c r="G13" s="3"/>
      <c r="H13" s="3"/>
      <c r="I13" s="3"/>
    </row>
    <row r="14" spans="1:9" ht="37.5" customHeight="1" x14ac:dyDescent="0.25">
      <c r="A14" s="10" t="s">
        <v>26</v>
      </c>
      <c r="B14" s="21" t="s">
        <v>27</v>
      </c>
      <c r="C14" s="9">
        <v>331800</v>
      </c>
      <c r="D14" s="10">
        <f>C14</f>
        <v>331800</v>
      </c>
      <c r="E14" s="10">
        <f>D14/4</f>
        <v>82950</v>
      </c>
      <c r="F14" s="7">
        <f t="shared" si="1"/>
        <v>746550</v>
      </c>
      <c r="G14" s="3"/>
      <c r="H14" s="3"/>
      <c r="I14" s="3"/>
    </row>
    <row r="15" spans="1:9" ht="27.75" customHeight="1" x14ac:dyDescent="0.25">
      <c r="A15" s="10" t="s">
        <v>28</v>
      </c>
      <c r="B15" s="21" t="s">
        <v>76</v>
      </c>
      <c r="C15" s="9">
        <f>543600-108510</f>
        <v>435090</v>
      </c>
      <c r="D15" s="10">
        <f>543600</f>
        <v>543600</v>
      </c>
      <c r="E15" s="10">
        <f>D15/4</f>
        <v>135900</v>
      </c>
      <c r="F15" s="7">
        <f t="shared" si="1"/>
        <v>1114590</v>
      </c>
      <c r="G15" s="3"/>
      <c r="H15" s="3"/>
      <c r="I15" s="3"/>
    </row>
    <row r="16" spans="1:9" ht="25.5" x14ac:dyDescent="0.25">
      <c r="A16" s="11" t="s">
        <v>29</v>
      </c>
      <c r="B16" s="18" t="s">
        <v>82</v>
      </c>
      <c r="C16" s="9">
        <v>80000</v>
      </c>
      <c r="D16" s="10">
        <v>80000</v>
      </c>
      <c r="E16" s="10"/>
      <c r="F16" s="7">
        <f t="shared" si="1"/>
        <v>160000</v>
      </c>
      <c r="G16" s="3"/>
      <c r="H16" s="3"/>
      <c r="I16" s="3"/>
    </row>
    <row r="17" spans="1:9" ht="51" x14ac:dyDescent="0.25">
      <c r="A17" s="11" t="s">
        <v>6</v>
      </c>
      <c r="B17" s="18" t="s">
        <v>128</v>
      </c>
      <c r="C17" s="9">
        <v>80000</v>
      </c>
      <c r="D17" s="9">
        <v>80000</v>
      </c>
      <c r="E17" s="9"/>
      <c r="F17" s="7">
        <f t="shared" si="1"/>
        <v>160000</v>
      </c>
      <c r="G17" s="3"/>
      <c r="H17" s="3"/>
      <c r="I17" s="3"/>
    </row>
    <row r="18" spans="1:9" ht="51" x14ac:dyDescent="0.25">
      <c r="A18" s="11" t="s">
        <v>30</v>
      </c>
      <c r="B18" s="18" t="s">
        <v>129</v>
      </c>
      <c r="C18" s="9">
        <v>90000</v>
      </c>
      <c r="D18" s="9">
        <v>90000</v>
      </c>
      <c r="E18" s="9"/>
      <c r="F18" s="7">
        <f t="shared" si="1"/>
        <v>180000</v>
      </c>
      <c r="G18" s="3"/>
      <c r="H18" s="3"/>
      <c r="I18" s="3"/>
    </row>
    <row r="19" spans="1:9" ht="51" x14ac:dyDescent="0.25">
      <c r="A19" s="11" t="s">
        <v>31</v>
      </c>
      <c r="B19" s="18" t="s">
        <v>130</v>
      </c>
      <c r="C19" s="9">
        <v>90000</v>
      </c>
      <c r="D19" s="9">
        <v>90000</v>
      </c>
      <c r="E19" s="9"/>
      <c r="F19" s="7">
        <f t="shared" si="1"/>
        <v>180000</v>
      </c>
      <c r="G19" s="3"/>
      <c r="H19" s="3"/>
      <c r="I19" s="3"/>
    </row>
    <row r="20" spans="1:9" ht="51" x14ac:dyDescent="0.25">
      <c r="A20" s="10" t="s">
        <v>32</v>
      </c>
      <c r="B20" s="18" t="s">
        <v>131</v>
      </c>
      <c r="C20" s="10">
        <v>130000</v>
      </c>
      <c r="D20" s="10">
        <v>130000</v>
      </c>
      <c r="E20" s="10"/>
      <c r="F20" s="7">
        <f t="shared" si="1"/>
        <v>260000</v>
      </c>
      <c r="G20" s="3"/>
      <c r="H20" s="3"/>
      <c r="I20" s="3"/>
    </row>
    <row r="21" spans="1:9" ht="38.25" x14ac:dyDescent="0.25">
      <c r="A21" s="11" t="s">
        <v>33</v>
      </c>
      <c r="B21" s="18" t="s">
        <v>107</v>
      </c>
      <c r="C21" s="9">
        <v>90000</v>
      </c>
      <c r="D21" s="9">
        <v>90000</v>
      </c>
      <c r="E21" s="9"/>
      <c r="F21" s="7">
        <f t="shared" si="1"/>
        <v>180000</v>
      </c>
      <c r="G21" s="3"/>
      <c r="H21" s="3"/>
      <c r="I21" s="3"/>
    </row>
    <row r="22" spans="1:9" ht="38.25" x14ac:dyDescent="0.25">
      <c r="A22" s="10" t="s">
        <v>34</v>
      </c>
      <c r="B22" s="18" t="s">
        <v>108</v>
      </c>
      <c r="C22" s="9">
        <v>100000</v>
      </c>
      <c r="D22" s="9">
        <v>100000</v>
      </c>
      <c r="E22" s="9"/>
      <c r="F22" s="7">
        <f t="shared" si="1"/>
        <v>200000</v>
      </c>
      <c r="G22" s="3"/>
      <c r="H22" s="3"/>
      <c r="I22" s="3"/>
    </row>
    <row r="23" spans="1:9" ht="51" x14ac:dyDescent="0.25">
      <c r="A23" s="10" t="s">
        <v>7</v>
      </c>
      <c r="B23" s="18" t="s">
        <v>106</v>
      </c>
      <c r="C23" s="9"/>
      <c r="D23" s="9">
        <v>72000</v>
      </c>
      <c r="E23" s="9">
        <v>72000</v>
      </c>
      <c r="F23" s="7">
        <f t="shared" si="1"/>
        <v>144000</v>
      </c>
      <c r="G23" s="3"/>
      <c r="H23" s="3"/>
      <c r="I23" s="3"/>
    </row>
    <row r="24" spans="1:9" ht="25.5" x14ac:dyDescent="0.25">
      <c r="A24" s="10" t="s">
        <v>35</v>
      </c>
      <c r="B24" s="18" t="s">
        <v>132</v>
      </c>
      <c r="C24" s="10">
        <v>15000</v>
      </c>
      <c r="D24" s="10">
        <v>15000</v>
      </c>
      <c r="E24" s="9"/>
      <c r="F24" s="7">
        <f t="shared" si="1"/>
        <v>30000</v>
      </c>
      <c r="G24" s="3"/>
      <c r="H24" s="3"/>
      <c r="I24" s="3"/>
    </row>
    <row r="25" spans="1:9" ht="25.5" x14ac:dyDescent="0.25">
      <c r="A25" s="9" t="s">
        <v>36</v>
      </c>
      <c r="B25" s="20" t="s">
        <v>140</v>
      </c>
      <c r="C25" s="10">
        <v>40000</v>
      </c>
      <c r="D25" s="10">
        <v>40000</v>
      </c>
      <c r="E25" s="9"/>
      <c r="F25" s="7">
        <f t="shared" si="1"/>
        <v>80000</v>
      </c>
      <c r="G25" s="3"/>
      <c r="H25" s="3"/>
      <c r="I25" s="3"/>
    </row>
    <row r="26" spans="1:9" ht="25.5" x14ac:dyDescent="0.25">
      <c r="A26" s="10" t="s">
        <v>37</v>
      </c>
      <c r="B26" s="18" t="s">
        <v>133</v>
      </c>
      <c r="C26" s="9">
        <v>30000</v>
      </c>
      <c r="D26" s="9">
        <v>30000</v>
      </c>
      <c r="E26" s="9">
        <v>10000</v>
      </c>
      <c r="F26" s="7">
        <f t="shared" si="1"/>
        <v>70000</v>
      </c>
      <c r="G26" s="3"/>
      <c r="H26" s="3"/>
      <c r="I26" s="3"/>
    </row>
    <row r="27" spans="1:9" ht="30.75" customHeight="1" x14ac:dyDescent="0.25">
      <c r="A27" s="10" t="s">
        <v>38</v>
      </c>
      <c r="B27" s="18" t="s">
        <v>83</v>
      </c>
      <c r="C27" s="10">
        <v>10000</v>
      </c>
      <c r="D27" s="10">
        <v>10000</v>
      </c>
      <c r="E27" s="9"/>
      <c r="F27" s="7">
        <f t="shared" si="1"/>
        <v>20000</v>
      </c>
      <c r="G27" s="3"/>
      <c r="H27" s="3"/>
      <c r="I27" s="3"/>
    </row>
    <row r="28" spans="1:9" ht="27" customHeight="1" x14ac:dyDescent="0.25">
      <c r="A28" s="10" t="s">
        <v>39</v>
      </c>
      <c r="B28" s="21" t="s">
        <v>61</v>
      </c>
      <c r="C28" s="9"/>
      <c r="D28" s="9">
        <v>230000</v>
      </c>
      <c r="E28" s="9">
        <v>230000</v>
      </c>
      <c r="F28" s="7">
        <f t="shared" si="1"/>
        <v>460000</v>
      </c>
      <c r="G28" s="3"/>
      <c r="H28" s="3"/>
      <c r="I28" s="3"/>
    </row>
    <row r="29" spans="1:9" ht="25.5" x14ac:dyDescent="0.25">
      <c r="A29" s="10" t="s">
        <v>55</v>
      </c>
      <c r="B29" s="21" t="s">
        <v>134</v>
      </c>
      <c r="C29" s="9">
        <v>60000</v>
      </c>
      <c r="D29" s="9">
        <v>60000</v>
      </c>
      <c r="E29" s="9"/>
      <c r="F29" s="7">
        <f t="shared" si="1"/>
        <v>120000</v>
      </c>
      <c r="G29" s="3"/>
      <c r="H29" s="3"/>
      <c r="I29" s="3"/>
    </row>
    <row r="30" spans="1:9" ht="38.25" x14ac:dyDescent="0.25">
      <c r="A30" s="10" t="s">
        <v>40</v>
      </c>
      <c r="B30" s="21" t="s">
        <v>84</v>
      </c>
      <c r="C30" s="9"/>
      <c r="D30" s="9">
        <v>610000</v>
      </c>
      <c r="E30" s="9">
        <v>610000</v>
      </c>
      <c r="F30" s="7">
        <f t="shared" si="1"/>
        <v>1220000</v>
      </c>
      <c r="G30" s="3"/>
      <c r="H30" s="3"/>
      <c r="I30" s="3"/>
    </row>
    <row r="31" spans="1:9" ht="34.5" customHeight="1" x14ac:dyDescent="0.25">
      <c r="A31" s="10" t="s">
        <v>41</v>
      </c>
      <c r="B31" s="21" t="s">
        <v>111</v>
      </c>
      <c r="C31" s="9"/>
      <c r="D31" s="9">
        <v>1499040</v>
      </c>
      <c r="E31" s="10">
        <v>1499040</v>
      </c>
      <c r="F31" s="7">
        <f t="shared" si="1"/>
        <v>2998080</v>
      </c>
      <c r="G31" s="3"/>
      <c r="H31" s="3"/>
      <c r="I31" s="3"/>
    </row>
    <row r="32" spans="1:9" ht="60" x14ac:dyDescent="0.25">
      <c r="A32" s="29" t="s">
        <v>12</v>
      </c>
      <c r="B32" s="32" t="s">
        <v>135</v>
      </c>
      <c r="C32" s="9">
        <v>300000</v>
      </c>
      <c r="D32" s="9">
        <v>300000</v>
      </c>
      <c r="E32" s="27"/>
      <c r="F32" s="7">
        <f t="shared" si="1"/>
        <v>600000</v>
      </c>
      <c r="G32" s="3"/>
      <c r="H32" s="3"/>
      <c r="I32" s="3"/>
    </row>
    <row r="33" spans="1:41" ht="69.75" customHeight="1" x14ac:dyDescent="0.25">
      <c r="A33" s="12" t="s">
        <v>9</v>
      </c>
      <c r="B33" s="22"/>
      <c r="C33" s="12">
        <f t="shared" ref="C33:E33" si="2">SUM(C13:C32)</f>
        <v>2291381</v>
      </c>
      <c r="D33" s="12">
        <f t="shared" si="2"/>
        <v>5054360</v>
      </c>
      <c r="E33" s="12">
        <f t="shared" si="2"/>
        <v>2803120</v>
      </c>
      <c r="F33" s="68">
        <f t="shared" si="1"/>
        <v>10148861</v>
      </c>
      <c r="G33" s="3"/>
      <c r="H33" s="3"/>
      <c r="I33" s="3"/>
    </row>
    <row r="34" spans="1:41" s="71" customFormat="1" ht="33" customHeight="1" x14ac:dyDescent="0.2">
      <c r="A34" s="7" t="s">
        <v>62</v>
      </c>
      <c r="B34" s="19" t="s">
        <v>63</v>
      </c>
      <c r="C34" s="8"/>
      <c r="D34" s="8"/>
      <c r="E34" s="8"/>
      <c r="F34" s="7"/>
      <c r="G34" s="69"/>
      <c r="H34" s="69"/>
      <c r="I34" s="69"/>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row>
    <row r="35" spans="1:41" ht="39" customHeight="1" x14ac:dyDescent="0.25">
      <c r="A35" s="10" t="s">
        <v>10</v>
      </c>
      <c r="B35" s="21" t="s">
        <v>67</v>
      </c>
      <c r="C35" s="9">
        <f>600000-67500</f>
        <v>532500</v>
      </c>
      <c r="D35" s="9">
        <f>600000</f>
        <v>600000</v>
      </c>
      <c r="E35" s="10">
        <f>D35/4</f>
        <v>150000</v>
      </c>
      <c r="F35" s="7">
        <f t="shared" ref="F35:F42" si="3">SUM(C35:E35)</f>
        <v>1282500</v>
      </c>
      <c r="G35" s="3"/>
      <c r="H35" s="3"/>
      <c r="I35" s="3"/>
    </row>
    <row r="36" spans="1:41" ht="42" customHeight="1" x14ac:dyDescent="0.25">
      <c r="A36" s="11" t="s">
        <v>11</v>
      </c>
      <c r="B36" s="18" t="s">
        <v>146</v>
      </c>
      <c r="C36" s="9">
        <v>58000</v>
      </c>
      <c r="D36" s="9">
        <v>58000</v>
      </c>
      <c r="E36" s="10">
        <v>15000</v>
      </c>
      <c r="F36" s="7">
        <f t="shared" si="3"/>
        <v>131000</v>
      </c>
      <c r="G36" s="3"/>
      <c r="H36" s="3"/>
      <c r="I36" s="3"/>
    </row>
    <row r="37" spans="1:41" ht="32.25" customHeight="1" x14ac:dyDescent="0.25">
      <c r="A37" s="11" t="s">
        <v>42</v>
      </c>
      <c r="B37" s="20" t="s">
        <v>136</v>
      </c>
      <c r="C37" s="9">
        <v>300000</v>
      </c>
      <c r="D37" s="9">
        <v>300000</v>
      </c>
      <c r="E37" s="10"/>
      <c r="F37" s="7">
        <f t="shared" si="3"/>
        <v>600000</v>
      </c>
      <c r="G37" s="3"/>
      <c r="H37" s="3"/>
      <c r="I37" s="3"/>
    </row>
    <row r="38" spans="1:41" ht="29.25" customHeight="1" x14ac:dyDescent="0.25">
      <c r="A38" s="11" t="s">
        <v>43</v>
      </c>
      <c r="B38" s="20" t="s">
        <v>138</v>
      </c>
      <c r="C38" s="9">
        <v>40000</v>
      </c>
      <c r="D38" s="9">
        <v>40000</v>
      </c>
      <c r="E38" s="9">
        <v>10000</v>
      </c>
      <c r="F38" s="7">
        <f t="shared" si="3"/>
        <v>90000</v>
      </c>
      <c r="G38" s="3"/>
      <c r="H38" s="3"/>
      <c r="I38" s="3"/>
    </row>
    <row r="39" spans="1:41" ht="38.25" x14ac:dyDescent="0.25">
      <c r="A39" s="11" t="s">
        <v>44</v>
      </c>
      <c r="B39" s="18" t="s">
        <v>137</v>
      </c>
      <c r="C39" s="10">
        <f>264000-64690</f>
        <v>199310</v>
      </c>
      <c r="D39" s="10">
        <f>264000/4+(396000/4)*3</f>
        <v>363000</v>
      </c>
      <c r="E39" s="10">
        <f>396000/4</f>
        <v>99000</v>
      </c>
      <c r="F39" s="7">
        <f t="shared" si="3"/>
        <v>661310</v>
      </c>
      <c r="G39" s="3"/>
      <c r="H39" s="3"/>
      <c r="I39" s="3"/>
    </row>
    <row r="40" spans="1:41" ht="51" x14ac:dyDescent="0.25">
      <c r="A40" s="10" t="s">
        <v>45</v>
      </c>
      <c r="B40" s="21" t="s">
        <v>124</v>
      </c>
      <c r="C40" s="10">
        <f>(3675*54)+((3675/12*8*61))</f>
        <v>347900</v>
      </c>
      <c r="D40" s="10">
        <f>(3675*115)+((3675/12*8*48))</f>
        <v>540225</v>
      </c>
      <c r="E40" s="10">
        <f>(3675*163)/4</f>
        <v>149756.25</v>
      </c>
      <c r="F40" s="7">
        <f t="shared" si="3"/>
        <v>1037881.25</v>
      </c>
      <c r="G40" s="3"/>
      <c r="H40" s="3"/>
      <c r="I40" s="3"/>
    </row>
    <row r="41" spans="1:41" ht="25.5" x14ac:dyDescent="0.25">
      <c r="A41" s="11" t="s">
        <v>46</v>
      </c>
      <c r="B41" s="21" t="s">
        <v>58</v>
      </c>
      <c r="C41" s="9">
        <f>500*116*0.65</f>
        <v>37700</v>
      </c>
      <c r="D41" s="9">
        <f>500*176*0.65</f>
        <v>57200</v>
      </c>
      <c r="E41" s="9"/>
      <c r="F41" s="7">
        <f t="shared" si="3"/>
        <v>94900</v>
      </c>
      <c r="G41" s="3"/>
      <c r="H41" s="3"/>
      <c r="I41" s="3"/>
    </row>
    <row r="42" spans="1:41" ht="25.5" customHeight="1" x14ac:dyDescent="0.25">
      <c r="A42" s="14" t="s">
        <v>13</v>
      </c>
      <c r="B42" s="24"/>
      <c r="C42" s="14">
        <f>SUM(C34:C41)</f>
        <v>1515410</v>
      </c>
      <c r="D42" s="14">
        <f>SUM(D34:D41)</f>
        <v>1958425</v>
      </c>
      <c r="E42" s="14">
        <f>SUM(E34:E41)</f>
        <v>423756.25</v>
      </c>
      <c r="F42" s="68">
        <f t="shared" si="3"/>
        <v>3897591.25</v>
      </c>
      <c r="G42" s="3"/>
      <c r="H42" s="3"/>
      <c r="I42" s="3"/>
    </row>
    <row r="43" spans="1:41" ht="40.5" customHeight="1" x14ac:dyDescent="0.25">
      <c r="A43" s="7" t="s">
        <v>47</v>
      </c>
      <c r="B43" s="23" t="s">
        <v>48</v>
      </c>
      <c r="C43" s="8"/>
      <c r="D43" s="8"/>
      <c r="E43" s="28"/>
      <c r="F43" s="7"/>
      <c r="G43" s="3"/>
      <c r="H43" s="3"/>
      <c r="I43" s="3"/>
    </row>
    <row r="44" spans="1:41" ht="24" customHeight="1" x14ac:dyDescent="0.25">
      <c r="A44" s="11" t="s">
        <v>49</v>
      </c>
      <c r="B44" s="18" t="s">
        <v>50</v>
      </c>
      <c r="C44" s="11">
        <v>15000</v>
      </c>
      <c r="D44" s="11">
        <v>10000</v>
      </c>
      <c r="E44" s="11"/>
      <c r="F44" s="7">
        <f t="shared" ref="F44:F53" si="4">SUM(C44:E44)</f>
        <v>25000</v>
      </c>
      <c r="G44" s="3"/>
      <c r="H44" s="3"/>
      <c r="I44" s="3"/>
    </row>
    <row r="45" spans="1:41" ht="27.75" customHeight="1" x14ac:dyDescent="0.25">
      <c r="A45" s="11" t="s">
        <v>6</v>
      </c>
      <c r="B45" s="18" t="s">
        <v>51</v>
      </c>
      <c r="C45" s="11">
        <v>99000</v>
      </c>
      <c r="D45" s="11">
        <v>99000</v>
      </c>
      <c r="E45" s="11"/>
      <c r="F45" s="7">
        <f t="shared" si="4"/>
        <v>198000</v>
      </c>
      <c r="G45" s="3"/>
      <c r="H45" s="3"/>
      <c r="I45" s="3"/>
    </row>
    <row r="46" spans="1:41" ht="38.25" customHeight="1" x14ac:dyDescent="0.25">
      <c r="A46" s="11" t="s">
        <v>52</v>
      </c>
      <c r="B46" s="18" t="s">
        <v>141</v>
      </c>
      <c r="C46" s="11">
        <v>189000</v>
      </c>
      <c r="D46" s="11">
        <v>189000</v>
      </c>
      <c r="E46" s="11"/>
      <c r="F46" s="7">
        <f t="shared" si="4"/>
        <v>378000</v>
      </c>
      <c r="G46" s="3"/>
      <c r="H46" s="3"/>
      <c r="I46" s="3"/>
    </row>
    <row r="47" spans="1:41" ht="24.75" customHeight="1" x14ac:dyDescent="0.25">
      <c r="A47" s="11" t="s">
        <v>7</v>
      </c>
      <c r="B47" s="18" t="s">
        <v>109</v>
      </c>
      <c r="C47" s="9">
        <v>115000</v>
      </c>
      <c r="D47" s="9">
        <v>115000</v>
      </c>
      <c r="E47" s="9"/>
      <c r="F47" s="7">
        <f t="shared" si="4"/>
        <v>230000</v>
      </c>
      <c r="G47" s="3"/>
      <c r="H47" s="3"/>
      <c r="I47" s="3"/>
    </row>
    <row r="48" spans="1:41" ht="38.25" x14ac:dyDescent="0.25">
      <c r="A48" s="11" t="s">
        <v>53</v>
      </c>
      <c r="B48" s="21" t="s">
        <v>85</v>
      </c>
      <c r="C48" s="9">
        <v>300000</v>
      </c>
      <c r="D48" s="9">
        <v>300000</v>
      </c>
      <c r="E48" s="9"/>
      <c r="F48" s="7">
        <f t="shared" si="4"/>
        <v>600000</v>
      </c>
      <c r="G48" s="3"/>
      <c r="H48" s="3"/>
      <c r="I48" s="3"/>
    </row>
    <row r="49" spans="1:9" ht="33" customHeight="1" x14ac:dyDescent="0.25">
      <c r="A49" s="12" t="s">
        <v>56</v>
      </c>
      <c r="B49" s="22"/>
      <c r="C49" s="12">
        <f>SUM(C44:C48)</f>
        <v>718000</v>
      </c>
      <c r="D49" s="12">
        <f>SUM(D44:D48)</f>
        <v>713000</v>
      </c>
      <c r="E49" s="12"/>
      <c r="F49" s="68">
        <f t="shared" si="4"/>
        <v>1431000</v>
      </c>
      <c r="G49" s="3"/>
      <c r="H49" s="3"/>
      <c r="I49" s="3"/>
    </row>
    <row r="50" spans="1:9" ht="75" x14ac:dyDescent="0.25">
      <c r="A50" s="12" t="s">
        <v>64</v>
      </c>
      <c r="B50" s="40" t="s">
        <v>87</v>
      </c>
      <c r="C50" s="12">
        <v>350000</v>
      </c>
      <c r="D50" s="12">
        <v>450000</v>
      </c>
      <c r="E50" s="12"/>
      <c r="F50" s="68">
        <f t="shared" si="4"/>
        <v>800000</v>
      </c>
      <c r="G50" s="3"/>
      <c r="H50" s="3"/>
      <c r="I50" s="3"/>
    </row>
    <row r="51" spans="1:9" ht="31.5" x14ac:dyDescent="0.25">
      <c r="A51" s="65" t="s">
        <v>15</v>
      </c>
      <c r="B51" s="66" t="s">
        <v>54</v>
      </c>
      <c r="C51" s="65">
        <f>SUM(C11,C33,C42,C49,C50)</f>
        <v>6083340</v>
      </c>
      <c r="D51" s="65">
        <f>SUM(D11,D33,D42,D49,D50)</f>
        <v>9412759</v>
      </c>
      <c r="E51" s="65">
        <f>SUM(E11,E33,E42,E49,E50)</f>
        <v>3538619.5</v>
      </c>
      <c r="F51" s="65">
        <f t="shared" si="4"/>
        <v>19034718.5</v>
      </c>
      <c r="G51" s="3"/>
      <c r="H51" s="3"/>
      <c r="I51" s="3"/>
    </row>
    <row r="52" spans="1:9" ht="29.25" customHeight="1" x14ac:dyDescent="0.25">
      <c r="A52" s="15" t="s">
        <v>14</v>
      </c>
      <c r="B52" s="22" t="s">
        <v>117</v>
      </c>
      <c r="C52" s="15">
        <v>90000</v>
      </c>
      <c r="D52" s="12">
        <v>90000</v>
      </c>
      <c r="E52" s="12">
        <v>25000</v>
      </c>
      <c r="F52" s="68">
        <f t="shared" si="4"/>
        <v>205000</v>
      </c>
      <c r="G52" s="3"/>
      <c r="H52" s="3"/>
      <c r="I52" s="3"/>
    </row>
    <row r="53" spans="1:9" ht="25.5" x14ac:dyDescent="0.25">
      <c r="A53" s="38" t="s">
        <v>88</v>
      </c>
      <c r="B53" s="55" t="s">
        <v>142</v>
      </c>
      <c r="C53" s="39">
        <f>10800*12</f>
        <v>129600</v>
      </c>
      <c r="D53" s="39">
        <f>10800*12</f>
        <v>129600</v>
      </c>
      <c r="E53" s="29">
        <f>10800*3</f>
        <v>32400</v>
      </c>
      <c r="F53" s="7">
        <f t="shared" si="4"/>
        <v>291600</v>
      </c>
      <c r="G53" s="3"/>
      <c r="H53" s="3"/>
      <c r="I53" s="3"/>
    </row>
    <row r="54" spans="1:9" ht="25.5" x14ac:dyDescent="0.25">
      <c r="A54" s="38" t="s">
        <v>89</v>
      </c>
      <c r="B54" s="55" t="s">
        <v>143</v>
      </c>
      <c r="C54" s="39">
        <f>4875*12</f>
        <v>58500</v>
      </c>
      <c r="D54" s="39">
        <f>4875*12</f>
        <v>58500</v>
      </c>
      <c r="E54" s="29">
        <f>4875*3</f>
        <v>14625</v>
      </c>
      <c r="F54" s="7">
        <f t="shared" ref="F54:F56" si="5">SUM(C54:E54)</f>
        <v>131625</v>
      </c>
      <c r="G54" s="3"/>
      <c r="H54" s="3"/>
      <c r="I54" s="3"/>
    </row>
    <row r="55" spans="1:9" ht="25.5" x14ac:dyDescent="0.25">
      <c r="A55" s="38" t="s">
        <v>86</v>
      </c>
      <c r="B55" s="55" t="s">
        <v>144</v>
      </c>
      <c r="C55" s="39">
        <f>2250*12</f>
        <v>27000</v>
      </c>
      <c r="D55" s="39">
        <f>2250*12</f>
        <v>27000</v>
      </c>
      <c r="E55" s="39">
        <f>2250*3</f>
        <v>6750</v>
      </c>
      <c r="F55" s="7">
        <f t="shared" si="5"/>
        <v>60750</v>
      </c>
      <c r="G55" s="3"/>
      <c r="H55" s="3"/>
      <c r="I55" s="3"/>
    </row>
    <row r="56" spans="1:9" ht="25.5" x14ac:dyDescent="0.25">
      <c r="A56" s="38" t="s">
        <v>90</v>
      </c>
      <c r="B56" s="55" t="s">
        <v>145</v>
      </c>
      <c r="C56" s="39">
        <f>1500*12</f>
        <v>18000</v>
      </c>
      <c r="D56" s="39">
        <f>1500*12</f>
        <v>18000</v>
      </c>
      <c r="E56" s="39">
        <f>1500*3</f>
        <v>4500</v>
      </c>
      <c r="F56" s="7">
        <f t="shared" si="5"/>
        <v>40500</v>
      </c>
      <c r="G56" s="3"/>
      <c r="H56" s="3"/>
      <c r="I56" s="3"/>
    </row>
    <row r="57" spans="1:9" ht="15.75" x14ac:dyDescent="0.25">
      <c r="A57" s="12" t="s">
        <v>112</v>
      </c>
      <c r="B57" s="22" t="s">
        <v>118</v>
      </c>
      <c r="C57" s="12">
        <f>SUM(C53:C56)</f>
        <v>233100</v>
      </c>
      <c r="D57" s="12">
        <f>SUM(D53:D56)</f>
        <v>233100</v>
      </c>
      <c r="E57" s="12">
        <f>SUM(E53:E56)</f>
        <v>58275</v>
      </c>
      <c r="F57" s="68">
        <f>SUM(C57:E57)</f>
        <v>524475</v>
      </c>
      <c r="G57" s="3"/>
      <c r="H57" s="3"/>
      <c r="I57" s="3"/>
    </row>
    <row r="58" spans="1:9" ht="24.75" customHeight="1" x14ac:dyDescent="0.25">
      <c r="A58" s="65" t="s">
        <v>113</v>
      </c>
      <c r="B58" s="66"/>
      <c r="C58" s="65">
        <f>SUM(C52,C57)</f>
        <v>323100</v>
      </c>
      <c r="D58" s="65">
        <f>SUM(D52,D57)</f>
        <v>323100</v>
      </c>
      <c r="E58" s="65">
        <f>SUM(E52,E57)</f>
        <v>83275</v>
      </c>
      <c r="F58" s="65">
        <f>SUM(C58:E58)</f>
        <v>729475</v>
      </c>
      <c r="G58" s="3"/>
      <c r="H58" s="3"/>
      <c r="I58" s="3"/>
    </row>
    <row r="59" spans="1:9" ht="33.75" customHeight="1" x14ac:dyDescent="0.25">
      <c r="A59" s="65" t="s">
        <v>23</v>
      </c>
      <c r="B59" s="74" t="s">
        <v>147</v>
      </c>
      <c r="C59" s="65">
        <v>100000</v>
      </c>
      <c r="D59" s="65">
        <v>100000</v>
      </c>
      <c r="E59" s="65">
        <v>25000</v>
      </c>
      <c r="F59" s="65">
        <f>SUM(C59:E59)</f>
        <v>225000</v>
      </c>
      <c r="G59" s="3"/>
      <c r="H59" s="3"/>
      <c r="I59" s="3"/>
    </row>
    <row r="60" spans="1:9" ht="15.75" x14ac:dyDescent="0.25">
      <c r="A60" s="30" t="s">
        <v>16</v>
      </c>
      <c r="B60" s="67"/>
      <c r="C60" s="30">
        <f>SUM(C51,C58,C59)</f>
        <v>6506440</v>
      </c>
      <c r="D60" s="30">
        <f t="shared" ref="D60:E60" si="6">SUM(D51,D58,D59)</f>
        <v>9835859</v>
      </c>
      <c r="E60" s="30">
        <f t="shared" si="6"/>
        <v>3646894.5</v>
      </c>
      <c r="F60" s="30">
        <f>SUM(C60:E60)</f>
        <v>19989193.5</v>
      </c>
      <c r="G60" s="3"/>
      <c r="H60" s="3"/>
      <c r="I60" s="3"/>
    </row>
    <row r="61" spans="1:9" ht="28.5" customHeight="1" thickBot="1" x14ac:dyDescent="0.3">
      <c r="A61" s="17" t="s">
        <v>17</v>
      </c>
      <c r="B61" s="25"/>
      <c r="C61" s="7">
        <f t="shared" ref="C61:E61" si="7">C60/2</f>
        <v>3253220</v>
      </c>
      <c r="D61" s="7">
        <f t="shared" si="7"/>
        <v>4917929.5</v>
      </c>
      <c r="E61" s="7">
        <f t="shared" si="7"/>
        <v>1823447.25</v>
      </c>
      <c r="F61" s="7">
        <f>SUM(C61:E61)</f>
        <v>9994596.75</v>
      </c>
      <c r="G61" s="3"/>
      <c r="H61" s="3"/>
      <c r="I61" s="3"/>
    </row>
  </sheetData>
  <pageMargins left="0.7" right="0.7" top="0.75" bottom="0.75" header="0.3" footer="0.3"/>
  <pageSetup paperSize="8" scale="7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
  <sheetViews>
    <sheetView rightToLeft="1" zoomScale="90" zoomScaleNormal="90" workbookViewId="0">
      <selection activeCell="E23" sqref="E23"/>
    </sheetView>
  </sheetViews>
  <sheetFormatPr defaultColWidth="9" defaultRowHeight="14.25" x14ac:dyDescent="0.2"/>
  <cols>
    <col min="1" max="1" width="9" style="41"/>
    <col min="2" max="2" width="21.125" style="41" bestFit="1" customWidth="1"/>
    <col min="3" max="3" width="12.125" style="41" customWidth="1"/>
    <col min="4" max="4" width="12.25" style="41" bestFit="1" customWidth="1"/>
    <col min="5" max="5" width="14.375" style="41" customWidth="1"/>
    <col min="6" max="6" width="15.875" style="41" customWidth="1"/>
    <col min="7" max="7" width="11.875" style="41" customWidth="1"/>
    <col min="8" max="8" width="95.125" style="41" bestFit="1" customWidth="1"/>
    <col min="9" max="16384" width="9" style="41"/>
  </cols>
  <sheetData>
    <row r="1" spans="1:9" x14ac:dyDescent="0.2">
      <c r="B1" s="44"/>
      <c r="C1" s="44"/>
      <c r="D1" s="44"/>
      <c r="E1" s="44"/>
      <c r="F1" s="44"/>
      <c r="G1" s="44"/>
      <c r="H1" s="44"/>
    </row>
    <row r="2" spans="1:9" ht="15" x14ac:dyDescent="0.25">
      <c r="A2" s="42"/>
      <c r="B2" s="47" t="s">
        <v>75</v>
      </c>
      <c r="C2" s="47" t="s">
        <v>77</v>
      </c>
      <c r="D2" s="47" t="s">
        <v>80</v>
      </c>
      <c r="E2" s="47" t="s">
        <v>79</v>
      </c>
      <c r="F2" s="47" t="s">
        <v>81</v>
      </c>
      <c r="G2" s="47" t="s">
        <v>115</v>
      </c>
      <c r="H2" s="47" t="s">
        <v>74</v>
      </c>
      <c r="I2" s="43"/>
    </row>
    <row r="3" spans="1:9" ht="28.5" x14ac:dyDescent="0.2">
      <c r="A3" s="42"/>
      <c r="B3" s="34" t="s">
        <v>20</v>
      </c>
      <c r="C3" s="35">
        <v>1</v>
      </c>
      <c r="D3" s="37">
        <v>1</v>
      </c>
      <c r="E3" s="53">
        <v>477600</v>
      </c>
      <c r="F3" s="53">
        <f>E3*C3</f>
        <v>477600</v>
      </c>
      <c r="G3" s="53">
        <f>E3/12/1.4</f>
        <v>28428.571428571431</v>
      </c>
      <c r="H3" s="54" t="s">
        <v>21</v>
      </c>
      <c r="I3" s="43"/>
    </row>
    <row r="4" spans="1:9" x14ac:dyDescent="0.2">
      <c r="A4" s="42"/>
      <c r="B4" s="34" t="s">
        <v>3</v>
      </c>
      <c r="C4" s="35">
        <v>0.75</v>
      </c>
      <c r="D4" s="37">
        <v>0.75</v>
      </c>
      <c r="E4" s="53">
        <v>181200</v>
      </c>
      <c r="F4" s="53">
        <f>E4*C4</f>
        <v>135900</v>
      </c>
      <c r="G4" s="53">
        <f>E4/12/1.4</f>
        <v>10785.714285714286</v>
      </c>
      <c r="H4" s="33" t="s">
        <v>65</v>
      </c>
      <c r="I4" s="43"/>
    </row>
    <row r="5" spans="1:9" x14ac:dyDescent="0.2">
      <c r="A5" s="42"/>
      <c r="B5" s="34" t="s">
        <v>122</v>
      </c>
      <c r="C5" s="35">
        <v>0.6</v>
      </c>
      <c r="D5" s="37">
        <v>0.6</v>
      </c>
      <c r="E5" s="53">
        <v>135000</v>
      </c>
      <c r="F5" s="53">
        <f>E5*D5</f>
        <v>81000</v>
      </c>
      <c r="G5" s="53">
        <f>E5/12/1.4</f>
        <v>8035.7142857142862</v>
      </c>
      <c r="H5" s="33" t="s">
        <v>123</v>
      </c>
      <c r="I5" s="43"/>
    </row>
    <row r="6" spans="1:9" x14ac:dyDescent="0.2">
      <c r="A6" s="42"/>
      <c r="B6" s="34" t="s">
        <v>73</v>
      </c>
      <c r="C6" s="35">
        <v>2.5</v>
      </c>
      <c r="D6" s="35"/>
      <c r="E6" s="53">
        <v>261168</v>
      </c>
      <c r="F6" s="53">
        <f>E6*C6</f>
        <v>652920</v>
      </c>
      <c r="G6" s="53">
        <f>E6/12/1.4</f>
        <v>15545.714285714286</v>
      </c>
      <c r="H6" s="33" t="s">
        <v>72</v>
      </c>
      <c r="I6" s="43"/>
    </row>
    <row r="7" spans="1:9" x14ac:dyDescent="0.2">
      <c r="A7" s="42"/>
      <c r="B7" s="34" t="s">
        <v>26</v>
      </c>
      <c r="C7" s="35">
        <v>1</v>
      </c>
      <c r="D7" s="35" t="s">
        <v>91</v>
      </c>
      <c r="E7" s="53">
        <v>331800</v>
      </c>
      <c r="F7" s="53">
        <v>331800</v>
      </c>
      <c r="G7" s="53">
        <f>E7/12/1.4</f>
        <v>19750</v>
      </c>
      <c r="H7" s="33" t="s">
        <v>71</v>
      </c>
      <c r="I7" s="43"/>
    </row>
    <row r="8" spans="1:9" x14ac:dyDescent="0.2">
      <c r="A8" s="42"/>
      <c r="B8" s="34" t="s">
        <v>28</v>
      </c>
      <c r="C8" s="35">
        <v>3</v>
      </c>
      <c r="D8" s="35"/>
      <c r="E8" s="53">
        <v>181200</v>
      </c>
      <c r="F8" s="53">
        <f>E8*C8</f>
        <v>543600</v>
      </c>
      <c r="G8" s="53">
        <f t="shared" ref="G8:G10" si="0">E8/12/1.4</f>
        <v>10785.714285714286</v>
      </c>
      <c r="H8" s="33" t="s">
        <v>78</v>
      </c>
      <c r="I8" s="43"/>
    </row>
    <row r="9" spans="1:9" x14ac:dyDescent="0.2">
      <c r="A9" s="42"/>
      <c r="B9" s="34" t="s">
        <v>70</v>
      </c>
      <c r="C9" s="35">
        <v>2</v>
      </c>
      <c r="D9" s="35"/>
      <c r="E9" s="53">
        <v>300000</v>
      </c>
      <c r="F9" s="53">
        <f>E9*C9</f>
        <v>600000</v>
      </c>
      <c r="G9" s="53">
        <f t="shared" si="0"/>
        <v>17857.142857142859</v>
      </c>
      <c r="H9" s="33" t="s">
        <v>69</v>
      </c>
      <c r="I9" s="43"/>
    </row>
    <row r="10" spans="1:9" x14ac:dyDescent="0.2">
      <c r="A10" s="42"/>
      <c r="B10" s="34" t="s">
        <v>44</v>
      </c>
      <c r="C10" s="35">
        <v>1.5</v>
      </c>
      <c r="D10" s="35"/>
      <c r="E10" s="53">
        <v>264000</v>
      </c>
      <c r="F10" s="53">
        <f>E10*C10</f>
        <v>396000</v>
      </c>
      <c r="G10" s="53">
        <f t="shared" si="0"/>
        <v>15714.285714285716</v>
      </c>
      <c r="H10" s="33" t="s">
        <v>68</v>
      </c>
      <c r="I10" s="43"/>
    </row>
    <row r="11" spans="1:9" x14ac:dyDescent="0.2">
      <c r="A11" s="42"/>
      <c r="B11" s="34" t="s">
        <v>116</v>
      </c>
      <c r="C11" s="35">
        <f>SUM(C3:C10)</f>
        <v>12.35</v>
      </c>
      <c r="D11" s="35"/>
      <c r="E11" s="36"/>
      <c r="F11" s="50"/>
      <c r="G11" s="51"/>
      <c r="H11" s="52"/>
      <c r="I11" s="43"/>
    </row>
    <row r="12" spans="1:9" x14ac:dyDescent="0.2">
      <c r="A12" s="42"/>
      <c r="B12" s="34"/>
      <c r="C12" s="35"/>
      <c r="D12" s="35"/>
      <c r="E12" s="36"/>
      <c r="F12" s="50"/>
      <c r="G12" s="51"/>
      <c r="H12" s="52"/>
      <c r="I12" s="43"/>
    </row>
    <row r="13" spans="1:9" ht="15" x14ac:dyDescent="0.25">
      <c r="A13" s="42"/>
      <c r="B13" s="47" t="s">
        <v>93</v>
      </c>
      <c r="C13" s="47" t="s">
        <v>102</v>
      </c>
      <c r="D13" s="47" t="s">
        <v>97</v>
      </c>
      <c r="E13" s="47" t="s">
        <v>98</v>
      </c>
      <c r="F13" s="56"/>
      <c r="G13" s="57"/>
      <c r="H13" s="58"/>
      <c r="I13" s="43"/>
    </row>
    <row r="14" spans="1:9" x14ac:dyDescent="0.2">
      <c r="A14" s="42"/>
      <c r="B14" s="46" t="s">
        <v>96</v>
      </c>
      <c r="C14" s="53">
        <v>616110.40300000005</v>
      </c>
      <c r="D14" s="33">
        <v>0.1</v>
      </c>
      <c r="E14" s="53">
        <f t="shared" ref="E14:E20" si="1">C14*D14</f>
        <v>61611.040300000008</v>
      </c>
      <c r="F14" s="59"/>
      <c r="G14" s="60"/>
      <c r="H14" s="61"/>
      <c r="I14" s="43"/>
    </row>
    <row r="15" spans="1:9" x14ac:dyDescent="0.2">
      <c r="A15" s="42"/>
      <c r="B15" s="46" t="s">
        <v>103</v>
      </c>
      <c r="C15" s="53">
        <v>541322.95899999992</v>
      </c>
      <c r="D15" s="33">
        <v>0.15</v>
      </c>
      <c r="E15" s="53">
        <f t="shared" si="1"/>
        <v>81198.443849999981</v>
      </c>
      <c r="F15" s="59"/>
      <c r="G15" s="60"/>
      <c r="H15" s="61"/>
      <c r="I15" s="43"/>
    </row>
    <row r="16" spans="1:9" x14ac:dyDescent="0.2">
      <c r="A16" s="42"/>
      <c r="B16" s="46" t="s">
        <v>104</v>
      </c>
      <c r="C16" s="53">
        <v>514986</v>
      </c>
      <c r="D16" s="33">
        <v>0.1</v>
      </c>
      <c r="E16" s="53">
        <f t="shared" si="1"/>
        <v>51498.600000000006</v>
      </c>
      <c r="F16" s="59"/>
      <c r="G16" s="60"/>
      <c r="H16" s="61"/>
      <c r="I16" s="43"/>
    </row>
    <row r="17" spans="1:9" x14ac:dyDescent="0.2">
      <c r="A17" s="42"/>
      <c r="B17" s="46" t="s">
        <v>94</v>
      </c>
      <c r="C17" s="53">
        <v>406565.30699999997</v>
      </c>
      <c r="D17" s="33">
        <v>0.12</v>
      </c>
      <c r="E17" s="53">
        <f t="shared" si="1"/>
        <v>48787.836839999996</v>
      </c>
      <c r="F17" s="59"/>
      <c r="G17" s="60"/>
      <c r="H17" s="61"/>
      <c r="I17" s="43"/>
    </row>
    <row r="18" spans="1:9" x14ac:dyDescent="0.2">
      <c r="A18" s="42"/>
      <c r="B18" s="46" t="s">
        <v>95</v>
      </c>
      <c r="C18" s="53">
        <v>424562.42099999997</v>
      </c>
      <c r="D18" s="33">
        <v>0.13</v>
      </c>
      <c r="E18" s="53">
        <f t="shared" si="1"/>
        <v>55193.114730000001</v>
      </c>
      <c r="F18" s="59"/>
      <c r="G18" s="60"/>
      <c r="H18" s="61"/>
      <c r="I18" s="43"/>
    </row>
    <row r="19" spans="1:9" x14ac:dyDescent="0.2">
      <c r="A19" s="42"/>
      <c r="B19" s="46" t="s">
        <v>100</v>
      </c>
      <c r="C19" s="53">
        <v>480000</v>
      </c>
      <c r="D19" s="33">
        <v>0.12</v>
      </c>
      <c r="E19" s="53">
        <f t="shared" si="1"/>
        <v>57600</v>
      </c>
      <c r="F19" s="59"/>
      <c r="G19" s="60"/>
      <c r="H19" s="61"/>
      <c r="I19" s="43"/>
    </row>
    <row r="20" spans="1:9" x14ac:dyDescent="0.2">
      <c r="A20" s="42"/>
      <c r="B20" s="46" t="s">
        <v>101</v>
      </c>
      <c r="C20" s="53">
        <v>288000</v>
      </c>
      <c r="D20" s="33">
        <v>0.12</v>
      </c>
      <c r="E20" s="53">
        <f t="shared" si="1"/>
        <v>34560</v>
      </c>
      <c r="F20" s="59"/>
      <c r="G20" s="60"/>
      <c r="H20" s="61"/>
      <c r="I20" s="43"/>
    </row>
    <row r="21" spans="1:9" x14ac:dyDescent="0.2">
      <c r="A21" s="42"/>
      <c r="B21" s="46" t="s">
        <v>99</v>
      </c>
      <c r="C21" s="33"/>
      <c r="D21" s="33"/>
      <c r="E21" s="53">
        <f>SUM(E14:E20)</f>
        <v>390449.03571999999</v>
      </c>
      <c r="F21" s="62"/>
      <c r="G21" s="63"/>
      <c r="H21" s="64"/>
      <c r="I21" s="43"/>
    </row>
    <row r="22" spans="1:9" x14ac:dyDescent="0.2">
      <c r="B22" s="45"/>
      <c r="C22" s="45"/>
      <c r="D22" s="45">
        <f>SUM(D14:D21)</f>
        <v>0.84</v>
      </c>
      <c r="E22" s="45"/>
      <c r="F22" s="45"/>
      <c r="G22" s="45"/>
      <c r="H22" s="45"/>
    </row>
    <row r="24" spans="1:9" x14ac:dyDescent="0.2">
      <c r="G24" s="48"/>
    </row>
    <row r="27" spans="1:9" x14ac:dyDescent="0.2">
      <c r="F27" s="48"/>
    </row>
  </sheetData>
  <mergeCells count="1">
    <mergeCell ref="F13:H21"/>
  </mergeCells>
  <pageMargins left="0.7" right="0.7" top="0.75" bottom="0.75" header="0.3" footer="0.3"/>
  <pageSetup orientation="portrait" r:id="rId1"/>
  <ignoredErrors>
    <ignoredError sqref="F5"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מקום ג</vt:lpstr>
      <vt:lpstr>פירוט סעיפים</vt:lpstr>
      <vt:lpstr>פירוט משרות</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shai shaked</dc:creator>
  <cp:lastModifiedBy>מילכה גרינימן</cp:lastModifiedBy>
  <cp:lastPrinted>2018-10-14T11:57:29Z</cp:lastPrinted>
  <dcterms:created xsi:type="dcterms:W3CDTF">2018-10-14T09:14:36Z</dcterms:created>
  <dcterms:modified xsi:type="dcterms:W3CDTF">2018-12-30T15:06:18Z</dcterms:modified>
</cp:coreProperties>
</file>